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455"/>
  </bookViews>
  <sheets>
    <sheet name="Fornecedores" sheetId="1" r:id="rId1"/>
    <sheet name="Orçamento" sheetId="2" r:id="rId2"/>
    <sheet name="Plan3" sheetId="3" r:id="rId3"/>
  </sheets>
  <definedNames>
    <definedName name="_xlnm._FilterDatabase" localSheetId="0" hidden="1">Fornecedores!$A$2:$H$139</definedName>
  </definedNames>
  <calcPr calcId="145621"/>
</workbook>
</file>

<file path=xl/calcChain.xml><?xml version="1.0" encoding="utf-8"?>
<calcChain xmlns="http://schemas.openxmlformats.org/spreadsheetml/2006/main">
  <c r="E42" i="2" l="1"/>
  <c r="H19" i="2" l="1"/>
  <c r="O48" i="1" l="1"/>
  <c r="C39" i="2" l="1"/>
  <c r="C37" i="2"/>
  <c r="C38" i="2"/>
  <c r="C41" i="2" l="1"/>
  <c r="D30" i="2" l="1"/>
  <c r="C29" i="2"/>
  <c r="O131" i="1"/>
  <c r="P112" i="1" l="1"/>
  <c r="P67" i="1" l="1"/>
  <c r="P64" i="1"/>
  <c r="P57" i="1"/>
  <c r="P48" i="1"/>
  <c r="P22" i="1"/>
  <c r="P3" i="1"/>
  <c r="P129" i="1"/>
  <c r="P127" i="1"/>
  <c r="P77" i="1"/>
  <c r="P52" i="1"/>
  <c r="P32" i="1"/>
  <c r="P17" i="1"/>
  <c r="P12" i="1"/>
  <c r="P29" i="1"/>
  <c r="C35" i="2"/>
  <c r="O127" i="1" l="1"/>
  <c r="O129" i="1"/>
  <c r="O106" i="1" l="1"/>
  <c r="P106" i="1" s="1"/>
  <c r="C40" i="2"/>
  <c r="C36" i="2"/>
  <c r="E30" i="2"/>
  <c r="C30" i="2"/>
  <c r="Q131" i="1"/>
  <c r="Q83" i="1"/>
  <c r="O83" i="1"/>
  <c r="O77" i="1"/>
  <c r="O52" i="1"/>
  <c r="O51" i="1"/>
  <c r="O87" i="1" l="1"/>
  <c r="P87" i="1" s="1"/>
  <c r="Q129" i="1"/>
  <c r="Q127" i="1"/>
  <c r="Q112" i="1"/>
  <c r="Q106" i="1"/>
  <c r="Q104" i="1"/>
  <c r="Q100" i="1"/>
  <c r="Q92" i="1"/>
  <c r="Q77" i="1"/>
  <c r="Q73" i="1"/>
  <c r="Q32" i="1"/>
  <c r="O104" i="1" l="1"/>
  <c r="P104" i="1" s="1"/>
  <c r="O100" i="1"/>
  <c r="P100" i="1" s="1"/>
  <c r="O96" i="1"/>
  <c r="P96" i="1" s="1"/>
  <c r="O92" i="1"/>
  <c r="P92" i="1" s="1"/>
  <c r="Q87" i="1"/>
  <c r="Q82" i="1"/>
  <c r="Q67" i="1"/>
  <c r="Q64" i="1"/>
  <c r="Q57" i="1"/>
  <c r="Q52" i="1"/>
  <c r="Q3" i="1"/>
  <c r="Q10" i="1"/>
  <c r="O29" i="1"/>
  <c r="O32" i="1"/>
  <c r="O67" i="1"/>
  <c r="O64" i="1"/>
  <c r="O57" i="1"/>
  <c r="O17" i="1"/>
  <c r="O10" i="1"/>
  <c r="Q48" i="1" l="1"/>
  <c r="Q38" i="1"/>
  <c r="Q22" i="1"/>
  <c r="Q17" i="1"/>
  <c r="Q12" i="1"/>
  <c r="Q9" i="1"/>
  <c r="Q29" i="1"/>
  <c r="O12" i="1"/>
</calcChain>
</file>

<file path=xl/sharedStrings.xml><?xml version="1.0" encoding="utf-8"?>
<sst xmlns="http://schemas.openxmlformats.org/spreadsheetml/2006/main" count="669" uniqueCount="317">
  <si>
    <t>Fabricação de tintas</t>
  </si>
  <si>
    <t>Matéria- Prima</t>
  </si>
  <si>
    <t>Fornecedor</t>
  </si>
  <si>
    <t>Produto</t>
  </si>
  <si>
    <t>IPI</t>
  </si>
  <si>
    <t>Antiespumante</t>
  </si>
  <si>
    <t>Dispersante</t>
  </si>
  <si>
    <t>Umectante</t>
  </si>
  <si>
    <t>Alcalinizante</t>
  </si>
  <si>
    <t>Aguarrás</t>
  </si>
  <si>
    <t>Resina Acr./estir.</t>
  </si>
  <si>
    <t>Espessante celulosico</t>
  </si>
  <si>
    <t>Espessante Acr.(baixa)</t>
  </si>
  <si>
    <t>Espessante Acr.(média)</t>
  </si>
  <si>
    <t>Espessante Acr. (alta)</t>
  </si>
  <si>
    <t>Espessante Uretânico</t>
  </si>
  <si>
    <t>Caolim</t>
  </si>
  <si>
    <t>Dioxido de Titânio</t>
  </si>
  <si>
    <t>Dolomita #1000</t>
  </si>
  <si>
    <t>Dolomita # 325</t>
  </si>
  <si>
    <t>Dolomita #100</t>
  </si>
  <si>
    <t>Dolomita#40</t>
  </si>
  <si>
    <t>Agalmatolito</t>
  </si>
  <si>
    <t>Carbonato PCC</t>
  </si>
  <si>
    <t>Calcita #1000</t>
  </si>
  <si>
    <t>Alcolina</t>
  </si>
  <si>
    <t>Contato</t>
  </si>
  <si>
    <t>Fone</t>
  </si>
  <si>
    <t>FWC</t>
  </si>
  <si>
    <t>Resin</t>
  </si>
  <si>
    <t>André</t>
  </si>
  <si>
    <t>AR 0030</t>
  </si>
  <si>
    <t>Domênico</t>
  </si>
  <si>
    <t>Butilglicol</t>
  </si>
  <si>
    <t>Coales./Plast.Solv.</t>
  </si>
  <si>
    <t>Emulsão de Parafina</t>
  </si>
  <si>
    <t>Nitrito de Sódio</t>
  </si>
  <si>
    <t>Hexametafosfato de sódio</t>
  </si>
  <si>
    <t>Hidróxido de sódio</t>
  </si>
  <si>
    <t>Polímero floculante</t>
  </si>
  <si>
    <t>Dolomita#20/#14/#10</t>
  </si>
  <si>
    <t>Comexim</t>
  </si>
  <si>
    <t>(11)39663155/39654729</t>
  </si>
  <si>
    <t>Otimiza</t>
  </si>
  <si>
    <t>Paulo</t>
  </si>
  <si>
    <t>(11)981014777</t>
  </si>
  <si>
    <t>(11)91161312/50493105</t>
  </si>
  <si>
    <t>WANA</t>
  </si>
  <si>
    <t>Daniel</t>
  </si>
  <si>
    <t>(12)97088914/21270027</t>
  </si>
  <si>
    <t>Renex 95</t>
  </si>
  <si>
    <t>Bandeirante</t>
  </si>
  <si>
    <t>(16)981367089</t>
  </si>
  <si>
    <t>Ultrasolve P-240</t>
  </si>
  <si>
    <t>Lumen</t>
  </si>
  <si>
    <t>Adolfo</t>
  </si>
  <si>
    <t>Oswaldo Cruz</t>
  </si>
  <si>
    <t>Jorgeanísio</t>
  </si>
  <si>
    <t>(11)975465175</t>
  </si>
  <si>
    <t>Denver</t>
  </si>
  <si>
    <t>Edson</t>
  </si>
  <si>
    <t>(11)976718893/47416116</t>
  </si>
  <si>
    <t>RX-04</t>
  </si>
  <si>
    <t>Bactericida</t>
  </si>
  <si>
    <t>Fungicida</t>
  </si>
  <si>
    <t>Nova Quimica</t>
  </si>
  <si>
    <t>Clênio</t>
  </si>
  <si>
    <t>BP-507</t>
  </si>
  <si>
    <t>IPEL</t>
  </si>
  <si>
    <t>Reolit WT 30 H</t>
  </si>
  <si>
    <t>EA - 04</t>
  </si>
  <si>
    <t>Dupont R -902</t>
  </si>
  <si>
    <t>Bentomar</t>
  </si>
  <si>
    <t>(11)27212719</t>
  </si>
  <si>
    <t>Bentonita Sódica</t>
  </si>
  <si>
    <t>MBM</t>
  </si>
  <si>
    <t>Lamil</t>
  </si>
  <si>
    <t>Denver Espec.</t>
  </si>
  <si>
    <t>Induskol T-100 M/2 RD</t>
  </si>
  <si>
    <t>Reflex  MS</t>
  </si>
  <si>
    <t>Provale</t>
  </si>
  <si>
    <t>Carbomix</t>
  </si>
  <si>
    <t>Quimvale</t>
  </si>
  <si>
    <t>Cotia Foods</t>
  </si>
  <si>
    <t>(11)28423000</t>
  </si>
  <si>
    <t>M CASSAB</t>
  </si>
  <si>
    <t>(11)21627608</t>
  </si>
  <si>
    <t>OT - 617</t>
  </si>
  <si>
    <t>Ultranex NP 95</t>
  </si>
  <si>
    <t>Tixotrol DB 8M/9</t>
  </si>
  <si>
    <t>Extra Leve -AA</t>
  </si>
  <si>
    <t>Arpel PA - 51</t>
  </si>
  <si>
    <t>(37)32318700</t>
  </si>
  <si>
    <t>Atias Quimica</t>
  </si>
  <si>
    <t>(11)32597266</t>
  </si>
  <si>
    <t>(28)35391058</t>
  </si>
  <si>
    <t>(28)35391131</t>
  </si>
  <si>
    <t>Robson</t>
  </si>
  <si>
    <t>Brenntag</t>
  </si>
  <si>
    <t>(11)55452100/24894151</t>
  </si>
  <si>
    <t>Óleo de Pinho</t>
  </si>
  <si>
    <t>Recol 65</t>
  </si>
  <si>
    <t>Socer Brasil</t>
  </si>
  <si>
    <t>(11)40289907</t>
  </si>
  <si>
    <t/>
  </si>
  <si>
    <t>RA - 198</t>
  </si>
  <si>
    <t>Acrylux HT 5079</t>
  </si>
  <si>
    <t>Forticryl 6400</t>
  </si>
  <si>
    <t>(12)36469000/(11)999656784</t>
  </si>
  <si>
    <t>Wanpex 1450</t>
  </si>
  <si>
    <t>(11)999472990/(24)24472083</t>
  </si>
  <si>
    <t>(11)78086587</t>
  </si>
  <si>
    <t>Rheolate CVS - 10</t>
  </si>
  <si>
    <t>Rheolate CVS - 11</t>
  </si>
  <si>
    <t>Rheolate 201</t>
  </si>
  <si>
    <t>EJ -75</t>
  </si>
  <si>
    <t>AR 0003</t>
  </si>
  <si>
    <t>PA 1800</t>
  </si>
  <si>
    <t>AR 0012</t>
  </si>
  <si>
    <t>(16)981367089/39515080</t>
  </si>
  <si>
    <t>Disacoat ALK 300</t>
  </si>
  <si>
    <t>Andreas</t>
  </si>
  <si>
    <t>(47)91214646</t>
  </si>
  <si>
    <t>Ttripolifosfato de sódio</t>
  </si>
  <si>
    <t>(11)45479993</t>
  </si>
  <si>
    <t>Quantidade</t>
  </si>
  <si>
    <t>1 Tb</t>
  </si>
  <si>
    <t>Verapon B/115</t>
  </si>
  <si>
    <t>Lamberti</t>
  </si>
  <si>
    <t>Nice</t>
  </si>
  <si>
    <t>(11)947774545</t>
  </si>
  <si>
    <t>(11)991161312/50493105</t>
  </si>
  <si>
    <t>RX-01</t>
  </si>
  <si>
    <t>FAP-490</t>
  </si>
  <si>
    <t>50Kg</t>
  </si>
  <si>
    <t>Preço/Kg</t>
  </si>
  <si>
    <t>Demil 709</t>
  </si>
  <si>
    <t>Waybor</t>
  </si>
  <si>
    <t>Yara</t>
  </si>
  <si>
    <t>Verif. c/Denver</t>
  </si>
  <si>
    <t>200Kg</t>
  </si>
  <si>
    <t>100 Kg</t>
  </si>
  <si>
    <t>4 Tb</t>
  </si>
  <si>
    <t>15 Tn</t>
  </si>
  <si>
    <t>12 Tn</t>
  </si>
  <si>
    <t>Adriano</t>
  </si>
  <si>
    <t>(19)981318728</t>
  </si>
  <si>
    <t>Liocide 711</t>
  </si>
  <si>
    <t>Miracema</t>
  </si>
  <si>
    <t>Corina 153</t>
  </si>
  <si>
    <t>5 Tn</t>
  </si>
  <si>
    <t>1 Tn</t>
  </si>
  <si>
    <t>Rene</t>
  </si>
  <si>
    <t>(11)2303-1350</t>
  </si>
  <si>
    <t>Arzu</t>
  </si>
  <si>
    <t>(11)2481-4898</t>
  </si>
  <si>
    <t>Forticryl 6070</t>
  </si>
  <si>
    <t>3 Tn</t>
  </si>
  <si>
    <t xml:space="preserve">Itém </t>
  </si>
  <si>
    <t>Cidade</t>
  </si>
  <si>
    <t>Endereço</t>
  </si>
  <si>
    <t>Av. Alberto Soares Sampaio, 1240</t>
  </si>
  <si>
    <t>Av. Casa Verde, 1758</t>
  </si>
  <si>
    <t>Rua Antônio Rodrigues Filho, 89 - Jardim Aeroporto</t>
  </si>
  <si>
    <t>Av. Fagundes de Oliveira, 1251 - Vila Sao Jose</t>
  </si>
  <si>
    <t>nicealecrim@terra.com.br</t>
  </si>
  <si>
    <t>Av. Presidente Wilson, 5031, B. Moca</t>
  </si>
  <si>
    <t>Rua Rudolfo Walter, 2000 - Itoupava Central</t>
  </si>
  <si>
    <r>
      <t> </t>
    </r>
    <r>
      <rPr>
        <sz val="10"/>
        <color rgb="FF222222"/>
        <rFont val="Arial"/>
        <family val="2"/>
      </rPr>
      <t>Av. Cumbica, 327</t>
    </r>
  </si>
  <si>
    <r>
      <t> </t>
    </r>
    <r>
      <rPr>
        <sz val="10"/>
        <color rgb="FF222222"/>
        <rFont val="Arial"/>
        <family val="2"/>
      </rPr>
      <t>R. Mônica Aparecida Moredo, 222 - Bonsucesso</t>
    </r>
  </si>
  <si>
    <t>Av. Roberto Gordon, 109</t>
  </si>
  <si>
    <t>R. Dr. José Alexandre Crosgnac, 815 - Vila Santa Flora</t>
  </si>
  <si>
    <r>
      <t> </t>
    </r>
    <r>
      <rPr>
        <sz val="10"/>
        <color rgb="FF222222"/>
        <rFont val="Arial"/>
        <family val="2"/>
      </rPr>
      <t>Rua Dr. Edgard Magalhães Noronha, 563</t>
    </r>
  </si>
  <si>
    <t>Av. Ceci, 820 - Tamboré</t>
  </si>
  <si>
    <t>Rua T-51, 321 - Setor Bueno</t>
  </si>
  <si>
    <t>GoiasFiller</t>
  </si>
  <si>
    <t>BR 116 - Córrego do Martinho</t>
  </si>
  <si>
    <t>Caraí/MG</t>
  </si>
  <si>
    <t>Barra do Piraí/RJ</t>
  </si>
  <si>
    <t>Av. Paulo Fernandes, 1603</t>
  </si>
  <si>
    <t>Goiania/GO</t>
  </si>
  <si>
    <r>
      <t> </t>
    </r>
    <r>
      <rPr>
        <sz val="10"/>
        <color rgb="FF222222"/>
        <rFont val="Arial"/>
        <family val="2"/>
      </rPr>
      <t>Av. Ricardo Bassoli Cezare, 15</t>
    </r>
  </si>
  <si>
    <r>
      <t> </t>
    </r>
    <r>
      <rPr>
        <sz val="10"/>
        <color rgb="FF222222"/>
        <rFont val="Arial"/>
        <family val="2"/>
      </rPr>
      <t>Estrada do Guarujá, 3150 - Bloco 1 - Jardim Marilia</t>
    </r>
  </si>
  <si>
    <t>Rua da Consolação, 293</t>
  </si>
  <si>
    <r>
      <t> </t>
    </r>
    <r>
      <rPr>
        <sz val="10"/>
        <color rgb="FF222222"/>
        <rFont val="Arial"/>
        <family val="2"/>
      </rPr>
      <t>R. Pasadena, 100 - Parque Industrial San José</t>
    </r>
  </si>
  <si>
    <t>AV. DAS NAÇÕES UNIDAS, 20.882</t>
  </si>
  <si>
    <t>Estr. Mun. do Jaguari, 9405 - Rio Abaixo</t>
  </si>
  <si>
    <t>Jacareí/SP</t>
  </si>
  <si>
    <t>Diadema/SP</t>
  </si>
  <si>
    <t>Guarulhos/SP</t>
  </si>
  <si>
    <t>São Paulo/SP</t>
  </si>
  <si>
    <t>Mauá/SP</t>
  </si>
  <si>
    <t>Cotia/SP</t>
  </si>
  <si>
    <t>Blumenal/SC</t>
  </si>
  <si>
    <t>Itapevi/SP</t>
  </si>
  <si>
    <t>Barueri/SP</t>
  </si>
  <si>
    <t>Campinas/SP</t>
  </si>
  <si>
    <t>Salto/SP</t>
  </si>
  <si>
    <t>Rua Osasco, 574 - Empresarial Anhanguera</t>
  </si>
  <si>
    <t>Cajamar/SP</t>
  </si>
  <si>
    <t>Rua Paletrans, 400 - Distrito Industrial</t>
  </si>
  <si>
    <t>Cravinhos/SP</t>
  </si>
  <si>
    <t>Estrada Alto Moledo, s/n</t>
  </si>
  <si>
    <t>Itaoca/ES</t>
  </si>
  <si>
    <r>
      <t> </t>
    </r>
    <r>
      <rPr>
        <sz val="10"/>
        <color rgb="FF222222"/>
        <rFont val="Arial"/>
        <family val="2"/>
      </rPr>
      <t>R. José Alexandre Buaiz, 160 - Enseada do Sua</t>
    </r>
  </si>
  <si>
    <t>Vitória/ES</t>
  </si>
  <si>
    <t>R. Rodrigo Fernandes, 1333</t>
  </si>
  <si>
    <t>R. do Bosque, 1589 - Barra Funda</t>
  </si>
  <si>
    <t>R. Geni Gusmão dos Santos, 48 - Rio Abaixo,</t>
  </si>
  <si>
    <t>Suzano/SP</t>
  </si>
  <si>
    <t>Fazenda Terra do Feijão, s/n°</t>
  </si>
  <si>
    <t>Pará de Minas/MG</t>
  </si>
  <si>
    <t>Preço A</t>
  </si>
  <si>
    <t>3000Kg</t>
  </si>
  <si>
    <t>2 Tb</t>
  </si>
  <si>
    <t>Fazer Esmalte</t>
  </si>
  <si>
    <t>OBS</t>
  </si>
  <si>
    <t>Tratamento Água</t>
  </si>
  <si>
    <t>Avenida Papa João XXIII, 2880, Sertãozinho</t>
  </si>
  <si>
    <t>Óxido de Zinco</t>
  </si>
  <si>
    <t>100Kg</t>
  </si>
  <si>
    <t>Linha Imprermeabilizante</t>
  </si>
  <si>
    <t>Brasoxidos</t>
  </si>
  <si>
    <t>(11)45436611/45436164</t>
  </si>
  <si>
    <t xml:space="preserve">SEGUNDO PASSO DE PRODUÇÃO </t>
  </si>
  <si>
    <t>UNIT.</t>
  </si>
  <si>
    <t>Juliana</t>
  </si>
  <si>
    <t>Fernandes</t>
  </si>
  <si>
    <t>Andréia</t>
  </si>
  <si>
    <t>1,25/0,98</t>
  </si>
  <si>
    <t>Resina HT-638</t>
  </si>
  <si>
    <t xml:space="preserve">Lumen </t>
  </si>
  <si>
    <t>2 tb</t>
  </si>
  <si>
    <t>DBP (Dibutilftalato)</t>
  </si>
  <si>
    <t>1 tb</t>
  </si>
  <si>
    <t xml:space="preserve">Tinta Para Gesso </t>
  </si>
  <si>
    <t>Resina  Para Gesso</t>
  </si>
  <si>
    <t>HT 894</t>
  </si>
  <si>
    <t>Weibor</t>
  </si>
  <si>
    <t>Leandro</t>
  </si>
  <si>
    <t>(11)46132777/994928769</t>
  </si>
  <si>
    <t>Eliene</t>
  </si>
  <si>
    <t>150Kg</t>
  </si>
  <si>
    <t>Situação</t>
  </si>
  <si>
    <t>Ok</t>
  </si>
  <si>
    <t>1,54/0,68</t>
  </si>
  <si>
    <t>contato@otimizaquimica.com.br</t>
  </si>
  <si>
    <t>comercial.resinrep@gmail.com</t>
  </si>
  <si>
    <t>Jorgenísio</t>
  </si>
  <si>
    <t>jorgenisio.silva@ocq.com.br</t>
  </si>
  <si>
    <t>andreas@disantex.com.br</t>
  </si>
  <si>
    <t>Disamtex</t>
  </si>
  <si>
    <t>(33)35329103/(33)999279324</t>
  </si>
  <si>
    <t>Aldo</t>
  </si>
  <si>
    <t>Simone/Adriano</t>
  </si>
  <si>
    <t>Yara/Odeth</t>
  </si>
  <si>
    <t>(11)958977778/973386367</t>
  </si>
  <si>
    <t>odete.fonseca@uol.com.br</t>
  </si>
  <si>
    <t>(62)3285-2333</t>
  </si>
  <si>
    <t>Ursula/Ana</t>
  </si>
  <si>
    <t>meghcoat</t>
  </si>
  <si>
    <t>+</t>
  </si>
  <si>
    <t>ipel - 5,59</t>
  </si>
  <si>
    <t>ipel - 9,90</t>
  </si>
  <si>
    <t>Ana Paula</t>
  </si>
  <si>
    <t>(19)3728-1000</t>
  </si>
  <si>
    <t>francasilva@terra.com.br</t>
  </si>
  <si>
    <t>(19)3728-1000/981318728/992683518</t>
  </si>
  <si>
    <t>Fabiana</t>
  </si>
  <si>
    <t>fabiana.bergamo@socer.com.br</t>
  </si>
  <si>
    <t xml:space="preserve">Produto </t>
  </si>
  <si>
    <t>Tripolifosfato de Sódio</t>
  </si>
  <si>
    <t>Dolomita #325</t>
  </si>
  <si>
    <t>Dolomita #40</t>
  </si>
  <si>
    <t>Dolomita #10 #14 #20</t>
  </si>
  <si>
    <t>Carbonato Precipitado PCC</t>
  </si>
  <si>
    <t>Dióxido de Titânio</t>
  </si>
  <si>
    <t>Total:</t>
  </si>
  <si>
    <t>Qtde.</t>
  </si>
  <si>
    <t>50kg</t>
  </si>
  <si>
    <t>SG Química - GO</t>
  </si>
  <si>
    <t>Coremil-Wilians SP</t>
  </si>
  <si>
    <t xml:space="preserve">Embalagens </t>
  </si>
  <si>
    <t>Lata 18L</t>
  </si>
  <si>
    <t>Caixa Papelão 20Kg</t>
  </si>
  <si>
    <t>Saco Valvulado</t>
  </si>
  <si>
    <t>dolomita</t>
  </si>
  <si>
    <t>resina</t>
  </si>
  <si>
    <t>PCC</t>
  </si>
  <si>
    <t>Titânio</t>
  </si>
  <si>
    <t>Nitrito</t>
  </si>
  <si>
    <t>Tripolifosfato</t>
  </si>
  <si>
    <t>umectante</t>
  </si>
  <si>
    <t>bentonita</t>
  </si>
  <si>
    <t>ton.</t>
  </si>
  <si>
    <t>Tambores (19)</t>
  </si>
  <si>
    <t>plt</t>
  </si>
  <si>
    <t>tbr</t>
  </si>
  <si>
    <t>ctn</t>
  </si>
  <si>
    <t>1 Tb - 214kg</t>
  </si>
  <si>
    <t>1 Tb - 200kg</t>
  </si>
  <si>
    <t>Prod.</t>
  </si>
  <si>
    <t>Embalagem.</t>
  </si>
  <si>
    <t>Embalagens São José</t>
  </si>
  <si>
    <t>?</t>
  </si>
  <si>
    <t>MetalG</t>
  </si>
  <si>
    <t>Brasilatas</t>
  </si>
  <si>
    <t>Inplac</t>
  </si>
  <si>
    <t>OBS: Total de matéria prima corresponde a 4000 unid. De produto acabado.</t>
  </si>
  <si>
    <t>-</t>
  </si>
  <si>
    <t>FG Química - GO</t>
  </si>
  <si>
    <t>Balde 18L Imold Lable</t>
  </si>
  <si>
    <t>Balde 18L Heat transfer</t>
  </si>
  <si>
    <t>Balde 3,6L Heat transfer</t>
  </si>
  <si>
    <t>Lata 3,6L</t>
  </si>
  <si>
    <t>Quantidade de produtos</t>
  </si>
  <si>
    <t xml:space="preserve">Barrica Papelão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</si>
</sst>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222222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3" fillId="0" borderId="0" xfId="0" applyFont="1"/>
    <xf numFmtId="0" fontId="0" fillId="0" borderId="0" xfId="0" quotePrefix="1"/>
    <xf numFmtId="0" fontId="0" fillId="0" borderId="1" xfId="0" applyBorder="1" applyAlignment="1">
      <alignment horizontal="left" vertical="center"/>
    </xf>
    <xf numFmtId="2" fontId="0" fillId="0" borderId="1" xfId="0" applyNumberFormat="1" applyBorder="1"/>
    <xf numFmtId="2" fontId="0" fillId="0" borderId="2" xfId="0" applyNumberFormat="1" applyBorder="1"/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/>
    <xf numFmtId="2" fontId="0" fillId="3" borderId="1" xfId="0" applyNumberFormat="1" applyFill="1" applyBorder="1"/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/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2" fontId="0" fillId="4" borderId="1" xfId="0" applyNumberFormat="1" applyFill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/>
    <xf numFmtId="2" fontId="4" fillId="0" borderId="1" xfId="0" applyNumberFormat="1" applyFont="1" applyBorder="1"/>
    <xf numFmtId="0" fontId="0" fillId="4" borderId="1" xfId="0" applyFill="1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6" fillId="0" borderId="0" xfId="1"/>
    <xf numFmtId="0" fontId="0" fillId="3" borderId="1" xfId="0" applyFill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3" borderId="4" xfId="0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44" fontId="0" fillId="0" borderId="1" xfId="2" applyFont="1" applyBorder="1"/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3" borderId="1" xfId="0" applyFill="1" applyBorder="1" applyAlignment="1"/>
    <xf numFmtId="44" fontId="8" fillId="0" borderId="1" xfId="2" applyFont="1" applyBorder="1"/>
    <xf numFmtId="44" fontId="9" fillId="0" borderId="1" xfId="2" applyFont="1" applyBorder="1"/>
    <xf numFmtId="0" fontId="3" fillId="0" borderId="0" xfId="0" applyFont="1" applyAlignment="1">
      <alignment horizontal="center"/>
    </xf>
    <xf numFmtId="44" fontId="3" fillId="0" borderId="0" xfId="0" applyNumberFormat="1" applyFont="1" applyAlignment="1">
      <alignment horizontal="center"/>
    </xf>
    <xf numFmtId="44" fontId="0" fillId="0" borderId="0" xfId="2" applyFont="1"/>
    <xf numFmtId="44" fontId="3" fillId="0" borderId="0" xfId="2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44" fontId="7" fillId="0" borderId="1" xfId="2" applyFont="1" applyBorder="1"/>
    <xf numFmtId="0" fontId="0" fillId="0" borderId="0" xfId="0" applyAlignment="1">
      <alignment horizontal="center"/>
    </xf>
    <xf numFmtId="44" fontId="4" fillId="0" borderId="1" xfId="2" applyFont="1" applyBorder="1"/>
    <xf numFmtId="44" fontId="0" fillId="0" borderId="1" xfId="2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6" xfId="0" applyFont="1" applyBorder="1" applyAlignment="1">
      <alignment horizontal="left" vertical="center"/>
    </xf>
    <xf numFmtId="44" fontId="10" fillId="0" borderId="6" xfId="2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4" xfId="0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44" fontId="9" fillId="0" borderId="1" xfId="2" applyFont="1" applyBorder="1" applyAlignment="1">
      <alignment horizontal="center" vertical="center"/>
    </xf>
    <xf numFmtId="44" fontId="4" fillId="0" borderId="1" xfId="2" applyFont="1" applyBorder="1" applyAlignment="1">
      <alignment horizontal="center" vertical="center"/>
    </xf>
    <xf numFmtId="44" fontId="8" fillId="0" borderId="1" xfId="2" applyFont="1" applyBorder="1" applyAlignment="1">
      <alignment horizontal="center" vertical="center"/>
    </xf>
    <xf numFmtId="44" fontId="0" fillId="0" borderId="0" xfId="2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3">
    <cellStyle name="Hiperlink" xfId="1" builtinId="8"/>
    <cellStyle name="Mo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jorgenisio.silva@ocq.com.br" TargetMode="External"/><Relationship Id="rId7" Type="http://schemas.openxmlformats.org/officeDocument/2006/relationships/hyperlink" Target="mailto:fabiana.bergamo@socer.com.br" TargetMode="External"/><Relationship Id="rId2" Type="http://schemas.openxmlformats.org/officeDocument/2006/relationships/hyperlink" Target="mailto:comercial.resinrep@gmail.com" TargetMode="External"/><Relationship Id="rId1" Type="http://schemas.openxmlformats.org/officeDocument/2006/relationships/hyperlink" Target="mailto:contato@otimizaquimica.com.br" TargetMode="External"/><Relationship Id="rId6" Type="http://schemas.openxmlformats.org/officeDocument/2006/relationships/hyperlink" Target="mailto:francasilva@terra.com.br" TargetMode="External"/><Relationship Id="rId5" Type="http://schemas.openxmlformats.org/officeDocument/2006/relationships/hyperlink" Target="mailto:odete.fonseca@uol.com.br" TargetMode="External"/><Relationship Id="rId4" Type="http://schemas.openxmlformats.org/officeDocument/2006/relationships/hyperlink" Target="mailto:andreas@disantex.com.b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187"/>
  <sheetViews>
    <sheetView tabSelected="1" workbookViewId="0">
      <selection sqref="A1:Q1"/>
    </sheetView>
  </sheetViews>
  <sheetFormatPr defaultRowHeight="15" x14ac:dyDescent="0.25"/>
  <cols>
    <col min="1" max="1" width="10" style="1" customWidth="1"/>
    <col min="2" max="2" width="6.85546875" style="1" customWidth="1"/>
    <col min="3" max="3" width="18.28515625" customWidth="1"/>
    <col min="4" max="4" width="47.85546875" customWidth="1"/>
    <col min="5" max="5" width="24.7109375" style="1" bestFit="1" customWidth="1"/>
    <col min="6" max="6" width="21.85546875" style="1" customWidth="1"/>
    <col min="7" max="7" width="14.140625" style="2" customWidth="1"/>
    <col min="8" max="8" width="10.85546875" bestFit="1" customWidth="1"/>
    <col min="9" max="9" width="26.140625" customWidth="1"/>
    <col min="10" max="10" width="14.140625" customWidth="1"/>
    <col min="11" max="11" width="6.42578125" customWidth="1"/>
    <col min="12" max="12" width="23.5703125" customWidth="1"/>
    <col min="13" max="13" width="14.140625" customWidth="1"/>
    <col min="15" max="17" width="18.28515625" customWidth="1"/>
    <col min="19" max="19" width="13.28515625" bestFit="1" customWidth="1"/>
  </cols>
  <sheetData>
    <row r="1" spans="1:18" s="3" customFormat="1" ht="15.75" x14ac:dyDescent="0.25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5"/>
    </row>
    <row r="2" spans="1:18" ht="15.75" x14ac:dyDescent="0.25">
      <c r="A2" s="34" t="s">
        <v>243</v>
      </c>
      <c r="B2" s="34" t="s">
        <v>158</v>
      </c>
      <c r="C2" s="34" t="s">
        <v>159</v>
      </c>
      <c r="D2" s="34" t="s">
        <v>160</v>
      </c>
      <c r="E2" s="40" t="s">
        <v>1</v>
      </c>
      <c r="F2" s="41" t="s">
        <v>3</v>
      </c>
      <c r="G2" s="42" t="s">
        <v>2</v>
      </c>
      <c r="H2" s="41" t="s">
        <v>26</v>
      </c>
      <c r="I2" s="41" t="s">
        <v>27</v>
      </c>
      <c r="J2" s="41" t="s">
        <v>125</v>
      </c>
      <c r="K2" s="41" t="s">
        <v>225</v>
      </c>
      <c r="L2" s="43" t="s">
        <v>216</v>
      </c>
      <c r="M2" s="43" t="s">
        <v>4</v>
      </c>
      <c r="N2" s="41" t="s">
        <v>135</v>
      </c>
      <c r="O2" s="41" t="s">
        <v>212</v>
      </c>
      <c r="P2" s="41" t="s">
        <v>310</v>
      </c>
      <c r="Q2" s="41" t="s">
        <v>281</v>
      </c>
    </row>
    <row r="3" spans="1:18" ht="21.95" customHeight="1" x14ac:dyDescent="0.25">
      <c r="A3" s="37" t="s">
        <v>244</v>
      </c>
      <c r="B3" s="37">
        <v>1</v>
      </c>
      <c r="C3" s="37" t="s">
        <v>191</v>
      </c>
      <c r="D3" s="38" t="s">
        <v>161</v>
      </c>
      <c r="E3" s="87" t="s">
        <v>36</v>
      </c>
      <c r="F3" s="39"/>
      <c r="G3" s="72" t="s">
        <v>51</v>
      </c>
      <c r="H3" s="72" t="s">
        <v>226</v>
      </c>
      <c r="I3" s="72" t="s">
        <v>124</v>
      </c>
      <c r="J3" s="72" t="s">
        <v>134</v>
      </c>
      <c r="K3" s="68"/>
      <c r="L3" s="68"/>
      <c r="M3" s="72"/>
      <c r="N3" s="80">
        <v>7.2</v>
      </c>
      <c r="O3" s="74">
        <v>360</v>
      </c>
      <c r="P3" s="74">
        <f>8.9*50</f>
        <v>445</v>
      </c>
      <c r="Q3" s="75">
        <f>11.5*50</f>
        <v>575</v>
      </c>
    </row>
    <row r="4" spans="1:18" ht="15" hidden="1" customHeight="1" x14ac:dyDescent="0.25">
      <c r="A4" s="4"/>
      <c r="B4" s="4"/>
      <c r="C4" s="4" t="s">
        <v>190</v>
      </c>
      <c r="D4" s="6" t="s">
        <v>183</v>
      </c>
      <c r="E4" s="86"/>
      <c r="F4" s="7"/>
      <c r="G4" s="10" t="s">
        <v>93</v>
      </c>
      <c r="H4" s="7"/>
      <c r="I4" s="7" t="s">
        <v>94</v>
      </c>
      <c r="J4" s="6"/>
      <c r="K4" s="6"/>
      <c r="L4" s="6"/>
      <c r="M4" s="6"/>
      <c r="N4" s="16"/>
      <c r="O4" s="6"/>
      <c r="P4" s="6"/>
      <c r="Q4" s="6"/>
    </row>
    <row r="5" spans="1:18" ht="15" hidden="1" customHeight="1" x14ac:dyDescent="0.25">
      <c r="A5" s="4"/>
      <c r="B5" s="4"/>
      <c r="C5" s="4"/>
      <c r="D5" s="6"/>
      <c r="E5" s="86"/>
      <c r="F5" s="7"/>
      <c r="G5" s="10"/>
      <c r="H5" s="7" t="s">
        <v>145</v>
      </c>
      <c r="I5" s="7" t="s">
        <v>146</v>
      </c>
      <c r="J5" s="6"/>
      <c r="K5" s="6"/>
      <c r="L5" s="6"/>
      <c r="M5" s="6"/>
      <c r="N5" s="16"/>
      <c r="O5" s="6"/>
      <c r="P5" s="6"/>
      <c r="Q5" s="6"/>
    </row>
    <row r="6" spans="1:18" ht="15" hidden="1" customHeight="1" x14ac:dyDescent="0.25">
      <c r="A6" s="4"/>
      <c r="B6" s="4"/>
      <c r="C6" s="4" t="s">
        <v>191</v>
      </c>
      <c r="D6" s="6" t="s">
        <v>161</v>
      </c>
      <c r="E6" s="86" t="s">
        <v>37</v>
      </c>
      <c r="F6" s="7"/>
      <c r="G6" s="10" t="s">
        <v>51</v>
      </c>
      <c r="H6" s="7"/>
      <c r="I6" s="7" t="s">
        <v>124</v>
      </c>
      <c r="J6" s="6"/>
      <c r="K6" s="6"/>
      <c r="L6" s="6"/>
      <c r="M6" s="6"/>
      <c r="N6" s="16"/>
      <c r="O6" s="6"/>
      <c r="P6" s="6"/>
      <c r="Q6" s="6"/>
    </row>
    <row r="7" spans="1:18" ht="15" hidden="1" customHeight="1" x14ac:dyDescent="0.25">
      <c r="A7" s="4"/>
      <c r="B7" s="4"/>
      <c r="C7" s="4" t="s">
        <v>192</v>
      </c>
      <c r="D7" s="6" t="s">
        <v>184</v>
      </c>
      <c r="E7" s="86"/>
      <c r="F7" s="7"/>
      <c r="G7" s="26" t="s">
        <v>83</v>
      </c>
      <c r="H7" s="7"/>
      <c r="I7" s="7" t="s">
        <v>84</v>
      </c>
      <c r="J7" s="6"/>
      <c r="K7" s="6"/>
      <c r="L7" s="6"/>
      <c r="M7" s="6"/>
      <c r="N7" s="16"/>
      <c r="O7" s="6"/>
      <c r="P7" s="6"/>
      <c r="Q7" s="6"/>
    </row>
    <row r="8" spans="1:18" ht="15" hidden="1" customHeight="1" x14ac:dyDescent="0.25">
      <c r="A8" s="4"/>
      <c r="B8" s="4"/>
      <c r="C8" s="4" t="s">
        <v>190</v>
      </c>
      <c r="D8" s="6" t="s">
        <v>185</v>
      </c>
      <c r="E8" s="86"/>
      <c r="F8" s="7"/>
      <c r="G8" s="23" t="s">
        <v>85</v>
      </c>
      <c r="H8" s="22"/>
      <c r="I8" s="22" t="s">
        <v>86</v>
      </c>
      <c r="J8" s="24"/>
      <c r="K8" s="24"/>
      <c r="L8" s="24"/>
      <c r="M8" s="24"/>
      <c r="N8" s="27"/>
      <c r="O8" s="6"/>
      <c r="P8" s="6"/>
      <c r="Q8" s="6"/>
    </row>
    <row r="9" spans="1:18" ht="15" hidden="1" customHeight="1" x14ac:dyDescent="0.25">
      <c r="A9" s="37"/>
      <c r="B9" s="4"/>
      <c r="C9" s="4" t="s">
        <v>190</v>
      </c>
      <c r="D9" s="6" t="s">
        <v>162</v>
      </c>
      <c r="E9" s="86" t="s">
        <v>123</v>
      </c>
      <c r="F9" s="18"/>
      <c r="G9" s="19" t="s">
        <v>41</v>
      </c>
      <c r="H9" s="18" t="s">
        <v>239</v>
      </c>
      <c r="I9" s="18" t="s">
        <v>42</v>
      </c>
      <c r="J9" s="20" t="s">
        <v>242</v>
      </c>
      <c r="K9" s="20"/>
      <c r="L9" s="20"/>
      <c r="M9" s="20"/>
      <c r="N9" s="21">
        <v>4.8</v>
      </c>
      <c r="O9" s="6"/>
      <c r="P9" s="6"/>
      <c r="Q9" s="46">
        <f>11.5*150</f>
        <v>1725</v>
      </c>
    </row>
    <row r="10" spans="1:18" ht="21.95" customHeight="1" x14ac:dyDescent="0.25">
      <c r="A10" s="4" t="s">
        <v>244</v>
      </c>
      <c r="B10" s="4">
        <v>2</v>
      </c>
      <c r="C10" s="4" t="s">
        <v>191</v>
      </c>
      <c r="D10" s="6" t="s">
        <v>161</v>
      </c>
      <c r="E10" s="86"/>
      <c r="F10" s="18"/>
      <c r="G10" s="73" t="s">
        <v>51</v>
      </c>
      <c r="H10" s="73" t="s">
        <v>226</v>
      </c>
      <c r="I10" s="73" t="s">
        <v>124</v>
      </c>
      <c r="J10" s="73" t="s">
        <v>242</v>
      </c>
      <c r="K10" s="70"/>
      <c r="L10" s="70"/>
      <c r="M10" s="73"/>
      <c r="N10" s="81">
        <v>7.64</v>
      </c>
      <c r="O10" s="74">
        <f>7.64*150</f>
        <v>1146</v>
      </c>
      <c r="P10" s="74" t="s">
        <v>304</v>
      </c>
      <c r="Q10" s="75">
        <f>11.5*150</f>
        <v>1725</v>
      </c>
    </row>
    <row r="11" spans="1:18" ht="15" hidden="1" customHeight="1" x14ac:dyDescent="0.25">
      <c r="A11" s="4"/>
      <c r="B11" s="4"/>
      <c r="C11" s="4" t="s">
        <v>190</v>
      </c>
      <c r="D11" s="6" t="s">
        <v>185</v>
      </c>
      <c r="E11" s="86"/>
      <c r="F11" s="7"/>
      <c r="G11" s="10" t="s">
        <v>85</v>
      </c>
      <c r="H11" s="7"/>
      <c r="I11" s="7" t="s">
        <v>86</v>
      </c>
      <c r="J11" s="6"/>
      <c r="K11" s="6"/>
      <c r="L11" s="6"/>
      <c r="M11" s="6"/>
      <c r="N11" s="16"/>
      <c r="O11" s="6"/>
      <c r="P11" s="6"/>
      <c r="Q11" s="6"/>
    </row>
    <row r="12" spans="1:18" ht="21.95" customHeight="1" x14ac:dyDescent="0.25">
      <c r="A12" s="4" t="s">
        <v>244</v>
      </c>
      <c r="B12" s="4">
        <v>3</v>
      </c>
      <c r="C12" s="4" t="s">
        <v>189</v>
      </c>
      <c r="D12" s="6" t="s">
        <v>163</v>
      </c>
      <c r="E12" s="86" t="s">
        <v>5</v>
      </c>
      <c r="F12" s="18" t="s">
        <v>87</v>
      </c>
      <c r="G12" s="73" t="s">
        <v>43</v>
      </c>
      <c r="H12" s="73" t="s">
        <v>152</v>
      </c>
      <c r="I12" s="73" t="s">
        <v>153</v>
      </c>
      <c r="J12" s="73" t="s">
        <v>126</v>
      </c>
      <c r="K12" s="70"/>
      <c r="L12" s="70"/>
      <c r="M12" s="73"/>
      <c r="N12" s="81">
        <v>5.87</v>
      </c>
      <c r="O12" s="74">
        <f>5.87*180</f>
        <v>1056.5999999999999</v>
      </c>
      <c r="P12" s="74">
        <f>6.8*200</f>
        <v>1360</v>
      </c>
      <c r="Q12" s="75">
        <f>6*200</f>
        <v>1200</v>
      </c>
      <c r="R12" s="35" t="s">
        <v>246</v>
      </c>
    </row>
    <row r="13" spans="1:18" ht="15" hidden="1" customHeight="1" x14ac:dyDescent="0.25">
      <c r="A13" s="4"/>
      <c r="B13" s="4"/>
      <c r="C13" s="4"/>
      <c r="D13" s="6"/>
      <c r="E13" s="86"/>
      <c r="F13" s="7"/>
      <c r="G13" s="10"/>
      <c r="H13" s="7"/>
      <c r="I13" s="7"/>
      <c r="J13" s="6"/>
      <c r="K13" s="6"/>
      <c r="L13" s="6"/>
      <c r="M13" s="6"/>
      <c r="N13" s="16"/>
      <c r="O13" s="6"/>
      <c r="P13" s="6"/>
      <c r="Q13" s="6"/>
    </row>
    <row r="14" spans="1:18" ht="15" hidden="1" customHeight="1" x14ac:dyDescent="0.25">
      <c r="A14" s="4"/>
      <c r="B14" s="4"/>
      <c r="C14" s="4"/>
      <c r="D14" s="6"/>
      <c r="E14" s="86"/>
      <c r="F14" s="7"/>
      <c r="G14" s="10"/>
      <c r="H14" s="7"/>
      <c r="I14" s="7"/>
      <c r="J14" s="6"/>
      <c r="K14" s="6"/>
      <c r="L14" s="6"/>
      <c r="M14" s="6"/>
      <c r="N14" s="16"/>
      <c r="O14" s="6"/>
      <c r="P14" s="6"/>
      <c r="Q14" s="6"/>
    </row>
    <row r="15" spans="1:18" ht="15" hidden="1" customHeight="1" x14ac:dyDescent="0.25">
      <c r="A15" s="4"/>
      <c r="B15" s="4"/>
      <c r="C15" s="4"/>
      <c r="D15" s="6"/>
      <c r="E15" s="86"/>
      <c r="F15" s="7"/>
      <c r="G15" s="10"/>
      <c r="H15" s="7"/>
      <c r="I15" s="7"/>
      <c r="J15" s="6"/>
      <c r="K15" s="6"/>
      <c r="L15" s="6"/>
      <c r="M15" s="6"/>
      <c r="N15" s="16"/>
      <c r="O15" s="6"/>
      <c r="P15" s="6"/>
      <c r="Q15" s="6"/>
    </row>
    <row r="16" spans="1:18" ht="15" hidden="1" customHeight="1" x14ac:dyDescent="0.25">
      <c r="A16" s="4"/>
      <c r="B16" s="4"/>
      <c r="C16" s="4"/>
      <c r="D16" s="6"/>
      <c r="E16" s="86"/>
      <c r="F16" s="7"/>
      <c r="G16" s="10"/>
      <c r="H16" s="7"/>
      <c r="I16" s="7"/>
      <c r="J16" s="6"/>
      <c r="K16" s="6"/>
      <c r="L16" s="6"/>
      <c r="M16" s="6"/>
      <c r="N16" s="16"/>
      <c r="O16" s="6"/>
      <c r="P16" s="6"/>
      <c r="Q16" s="6"/>
    </row>
    <row r="17" spans="1:19" ht="21.95" customHeight="1" x14ac:dyDescent="0.25">
      <c r="A17" s="4" t="s">
        <v>244</v>
      </c>
      <c r="B17" s="4">
        <v>4</v>
      </c>
      <c r="C17" s="4" t="s">
        <v>188</v>
      </c>
      <c r="D17" s="6" t="s">
        <v>164</v>
      </c>
      <c r="E17" s="86" t="s">
        <v>6</v>
      </c>
      <c r="F17" s="18" t="s">
        <v>28</v>
      </c>
      <c r="G17" s="73" t="s">
        <v>29</v>
      </c>
      <c r="H17" s="73" t="s">
        <v>30</v>
      </c>
      <c r="I17" s="73" t="s">
        <v>131</v>
      </c>
      <c r="J17" s="73" t="s">
        <v>126</v>
      </c>
      <c r="K17" s="70"/>
      <c r="L17" s="70"/>
      <c r="M17" s="73"/>
      <c r="N17" s="81">
        <v>5</v>
      </c>
      <c r="O17" s="74">
        <f>5*200</f>
        <v>1000</v>
      </c>
      <c r="P17" s="74">
        <f>6.7*200</f>
        <v>1340</v>
      </c>
      <c r="Q17" s="75">
        <f>5.2*200</f>
        <v>1040</v>
      </c>
      <c r="R17" s="35" t="s">
        <v>247</v>
      </c>
    </row>
    <row r="18" spans="1:19" ht="15" hidden="1" customHeight="1" x14ac:dyDescent="0.25">
      <c r="A18" s="4"/>
      <c r="B18" s="4"/>
      <c r="C18" s="4" t="s">
        <v>187</v>
      </c>
      <c r="D18" s="6" t="s">
        <v>186</v>
      </c>
      <c r="E18" s="86"/>
      <c r="F18" s="7" t="s">
        <v>109</v>
      </c>
      <c r="G18" s="10" t="s">
        <v>47</v>
      </c>
      <c r="H18" s="7" t="s">
        <v>48</v>
      </c>
      <c r="I18" s="7" t="s">
        <v>49</v>
      </c>
      <c r="J18" s="6"/>
      <c r="K18" s="6"/>
      <c r="L18" s="6"/>
      <c r="M18" s="6"/>
      <c r="N18" s="16"/>
      <c r="O18" s="6"/>
      <c r="P18" s="6"/>
      <c r="Q18" s="6"/>
    </row>
    <row r="19" spans="1:19" ht="15" hidden="1" customHeight="1" x14ac:dyDescent="0.25">
      <c r="A19" s="4"/>
      <c r="B19" s="4"/>
      <c r="C19" s="4"/>
      <c r="D19" s="6"/>
      <c r="E19" s="86"/>
      <c r="F19" s="7"/>
      <c r="G19" s="10"/>
      <c r="H19" s="7"/>
      <c r="I19" s="7"/>
      <c r="J19" s="6"/>
      <c r="K19" s="6"/>
      <c r="L19" s="6"/>
      <c r="M19" s="6"/>
      <c r="N19" s="16"/>
      <c r="O19" s="6"/>
      <c r="P19" s="6"/>
      <c r="Q19" s="6"/>
    </row>
    <row r="20" spans="1:19" ht="15" hidden="1" customHeight="1" x14ac:dyDescent="0.25">
      <c r="A20" s="4"/>
      <c r="B20" s="4"/>
      <c r="C20" s="4"/>
      <c r="D20" s="6"/>
      <c r="E20" s="86"/>
      <c r="F20" s="7"/>
      <c r="G20" s="10"/>
      <c r="H20" s="7"/>
      <c r="I20" s="7"/>
      <c r="J20" s="6"/>
      <c r="K20" s="6"/>
      <c r="L20" s="6"/>
      <c r="M20" s="6"/>
      <c r="N20" s="16"/>
      <c r="O20" s="6"/>
      <c r="P20" s="6"/>
      <c r="Q20" s="6"/>
    </row>
    <row r="21" spans="1:19" ht="15" hidden="1" customHeight="1" x14ac:dyDescent="0.25">
      <c r="A21" s="4"/>
      <c r="B21" s="4"/>
      <c r="C21" s="4"/>
      <c r="D21" s="6"/>
      <c r="E21" s="86"/>
      <c r="F21" s="7"/>
      <c r="G21" s="10"/>
      <c r="H21" s="7"/>
      <c r="I21" s="7"/>
      <c r="J21" s="6"/>
      <c r="K21" s="6"/>
      <c r="L21" s="6"/>
      <c r="M21" s="6"/>
      <c r="N21" s="16"/>
      <c r="O21" s="6"/>
      <c r="P21" s="6"/>
      <c r="Q21" s="6"/>
    </row>
    <row r="22" spans="1:19" ht="21.95" customHeight="1" x14ac:dyDescent="0.25">
      <c r="A22" s="4" t="s">
        <v>244</v>
      </c>
      <c r="B22" s="4">
        <v>5</v>
      </c>
      <c r="C22" s="4" t="s">
        <v>190</v>
      </c>
      <c r="D22" s="6" t="s">
        <v>166</v>
      </c>
      <c r="E22" s="86" t="s">
        <v>7</v>
      </c>
      <c r="F22" s="18" t="s">
        <v>127</v>
      </c>
      <c r="G22" s="73" t="s">
        <v>128</v>
      </c>
      <c r="H22" s="73" t="s">
        <v>129</v>
      </c>
      <c r="I22" s="73" t="s">
        <v>130</v>
      </c>
      <c r="J22" s="73" t="s">
        <v>141</v>
      </c>
      <c r="K22" s="71"/>
      <c r="L22" s="70"/>
      <c r="M22" s="82">
        <v>0.05</v>
      </c>
      <c r="N22" s="81">
        <v>10.24</v>
      </c>
      <c r="O22" s="74">
        <v>1024</v>
      </c>
      <c r="P22" s="74">
        <f>8.98*100</f>
        <v>898</v>
      </c>
      <c r="Q22" s="75">
        <f>5.2*100</f>
        <v>520</v>
      </c>
      <c r="R22" t="s">
        <v>165</v>
      </c>
      <c r="S22" s="35"/>
    </row>
    <row r="23" spans="1:19" ht="15" hidden="1" customHeight="1" x14ac:dyDescent="0.25">
      <c r="A23" s="4"/>
      <c r="B23" s="4"/>
      <c r="C23" s="4" t="s">
        <v>191</v>
      </c>
      <c r="D23" s="6" t="s">
        <v>161</v>
      </c>
      <c r="E23" s="86"/>
      <c r="F23" s="7" t="s">
        <v>50</v>
      </c>
      <c r="G23" s="10" t="s">
        <v>51</v>
      </c>
      <c r="H23" s="7"/>
      <c r="I23" s="7" t="s">
        <v>124</v>
      </c>
      <c r="J23" s="6"/>
      <c r="K23" s="6"/>
      <c r="L23" s="6"/>
      <c r="M23" s="6"/>
      <c r="N23" s="16"/>
      <c r="O23" s="6"/>
      <c r="P23" s="6"/>
      <c r="Q23" s="6"/>
      <c r="S23" s="13"/>
    </row>
    <row r="24" spans="1:19" ht="15" hidden="1" customHeight="1" x14ac:dyDescent="0.25">
      <c r="A24" s="4"/>
      <c r="B24" s="4"/>
      <c r="C24" s="4" t="s">
        <v>190</v>
      </c>
      <c r="D24" s="6" t="s">
        <v>185</v>
      </c>
      <c r="E24" s="86"/>
      <c r="F24" s="7" t="s">
        <v>88</v>
      </c>
      <c r="G24" s="10" t="s">
        <v>85</v>
      </c>
      <c r="H24" s="7"/>
      <c r="I24" s="7" t="s">
        <v>86</v>
      </c>
      <c r="J24" s="6"/>
      <c r="K24" s="6"/>
      <c r="L24" s="6"/>
      <c r="M24" s="6"/>
      <c r="N24" s="16"/>
      <c r="O24" s="6"/>
      <c r="P24" s="6"/>
      <c r="Q24" s="6"/>
    </row>
    <row r="25" spans="1:19" ht="15" hidden="1" customHeight="1" x14ac:dyDescent="0.25">
      <c r="A25" s="4"/>
      <c r="B25" s="4"/>
      <c r="C25" s="4" t="s">
        <v>189</v>
      </c>
      <c r="D25" s="6" t="s">
        <v>206</v>
      </c>
      <c r="E25" s="86"/>
      <c r="F25" s="7" t="s">
        <v>88</v>
      </c>
      <c r="G25" s="10" t="s">
        <v>98</v>
      </c>
      <c r="H25" s="7"/>
      <c r="I25" s="7" t="s">
        <v>99</v>
      </c>
      <c r="J25" s="6"/>
      <c r="K25" s="6"/>
      <c r="L25" s="6"/>
      <c r="M25" s="6"/>
      <c r="N25" s="16"/>
      <c r="O25" s="6"/>
      <c r="P25" s="6"/>
      <c r="Q25" s="6"/>
      <c r="S25" s="14" t="s">
        <v>104</v>
      </c>
    </row>
    <row r="26" spans="1:19" ht="15" hidden="1" customHeight="1" x14ac:dyDescent="0.25">
      <c r="A26" s="4"/>
      <c r="B26" s="4"/>
      <c r="C26" s="4" t="s">
        <v>201</v>
      </c>
      <c r="D26" s="6" t="s">
        <v>200</v>
      </c>
      <c r="E26" s="86"/>
      <c r="F26" s="22" t="s">
        <v>116</v>
      </c>
      <c r="G26" s="23" t="s">
        <v>25</v>
      </c>
      <c r="H26" s="22" t="s">
        <v>32</v>
      </c>
      <c r="I26" s="22" t="s">
        <v>52</v>
      </c>
      <c r="J26" s="24"/>
      <c r="K26" s="24"/>
      <c r="L26" s="24"/>
      <c r="M26" s="24"/>
      <c r="N26" s="27">
        <v>4.0999999999999996</v>
      </c>
      <c r="O26" s="6"/>
      <c r="P26" s="6"/>
      <c r="Q26" s="6"/>
    </row>
    <row r="27" spans="1:19" ht="15" hidden="1" customHeight="1" x14ac:dyDescent="0.25">
      <c r="A27" s="4"/>
      <c r="B27" s="4"/>
      <c r="C27" s="4" t="s">
        <v>201</v>
      </c>
      <c r="D27" s="6" t="s">
        <v>200</v>
      </c>
      <c r="E27" s="86" t="s">
        <v>8</v>
      </c>
      <c r="F27" s="7" t="s">
        <v>31</v>
      </c>
      <c r="G27" s="10" t="s">
        <v>25</v>
      </c>
      <c r="H27" s="7" t="s">
        <v>32</v>
      </c>
      <c r="I27" s="7" t="s">
        <v>52</v>
      </c>
      <c r="J27" s="6"/>
      <c r="K27" s="6"/>
      <c r="L27" s="6"/>
      <c r="M27" s="6"/>
      <c r="N27" s="16"/>
      <c r="O27" s="6"/>
      <c r="P27" s="6"/>
      <c r="Q27" s="6"/>
    </row>
    <row r="28" spans="1:19" ht="15" hidden="1" customHeight="1" x14ac:dyDescent="0.25">
      <c r="A28" s="4"/>
      <c r="B28" s="4"/>
      <c r="C28" s="4"/>
      <c r="D28" s="6"/>
      <c r="E28" s="86"/>
      <c r="F28" s="7"/>
      <c r="G28" s="10"/>
      <c r="H28" s="7"/>
      <c r="I28" s="7"/>
      <c r="J28" s="6"/>
      <c r="K28" s="6"/>
      <c r="L28" s="6"/>
      <c r="M28" s="6"/>
      <c r="N28" s="16"/>
      <c r="O28" s="6"/>
      <c r="P28" s="6"/>
      <c r="Q28" s="6"/>
    </row>
    <row r="29" spans="1:19" ht="21.95" customHeight="1" x14ac:dyDescent="0.25">
      <c r="A29" s="4" t="s">
        <v>244</v>
      </c>
      <c r="B29" s="4">
        <v>6</v>
      </c>
      <c r="C29" s="4" t="s">
        <v>193</v>
      </c>
      <c r="D29" s="6" t="s">
        <v>167</v>
      </c>
      <c r="E29" s="86"/>
      <c r="F29" s="18" t="s">
        <v>120</v>
      </c>
      <c r="G29" s="73" t="s">
        <v>251</v>
      </c>
      <c r="H29" s="73" t="s">
        <v>121</v>
      </c>
      <c r="I29" s="73" t="s">
        <v>122</v>
      </c>
      <c r="J29" s="73" t="s">
        <v>126</v>
      </c>
      <c r="K29" s="70"/>
      <c r="L29" s="70"/>
      <c r="M29" s="73"/>
      <c r="N29" s="81">
        <v>2.85</v>
      </c>
      <c r="O29" s="74">
        <f>2.85*220</f>
        <v>627</v>
      </c>
      <c r="P29" s="74">
        <f>4.7*200</f>
        <v>940</v>
      </c>
      <c r="Q29" s="75">
        <f>6.5*200</f>
        <v>1300</v>
      </c>
      <c r="R29" s="35" t="s">
        <v>250</v>
      </c>
    </row>
    <row r="30" spans="1:19" ht="15" hidden="1" customHeight="1" x14ac:dyDescent="0.25">
      <c r="A30" s="4"/>
      <c r="B30" s="4"/>
      <c r="C30" s="4"/>
      <c r="D30" s="6"/>
      <c r="E30" s="86"/>
      <c r="F30" s="7"/>
      <c r="G30" s="10"/>
      <c r="H30" s="7"/>
      <c r="I30" s="7"/>
      <c r="J30" s="6"/>
      <c r="K30" s="6"/>
      <c r="L30" s="6"/>
      <c r="M30" s="6"/>
      <c r="N30" s="16"/>
      <c r="O30" s="6"/>
      <c r="P30" s="6"/>
      <c r="Q30" s="6"/>
    </row>
    <row r="31" spans="1:19" ht="15" hidden="1" customHeight="1" x14ac:dyDescent="0.25">
      <c r="A31" s="4"/>
      <c r="B31" s="4"/>
      <c r="C31" s="4"/>
      <c r="D31" s="6"/>
      <c r="E31" s="86"/>
      <c r="F31" s="7"/>
      <c r="G31" s="10"/>
      <c r="H31" s="7"/>
      <c r="I31" s="7"/>
      <c r="J31" s="6"/>
      <c r="K31" s="6"/>
      <c r="L31" s="6"/>
      <c r="M31" s="6"/>
      <c r="N31" s="16"/>
      <c r="O31" s="6"/>
      <c r="P31" s="6"/>
      <c r="Q31" s="6"/>
    </row>
    <row r="32" spans="1:19" ht="21.95" customHeight="1" x14ac:dyDescent="0.25">
      <c r="A32" s="37" t="s">
        <v>244</v>
      </c>
      <c r="B32" s="4">
        <v>7</v>
      </c>
      <c r="C32" s="4" t="s">
        <v>189</v>
      </c>
      <c r="D32" s="6" t="s">
        <v>168</v>
      </c>
      <c r="E32" s="86" t="s">
        <v>35</v>
      </c>
      <c r="F32" s="18" t="s">
        <v>91</v>
      </c>
      <c r="G32" s="73" t="s">
        <v>154</v>
      </c>
      <c r="H32" s="73" t="s">
        <v>227</v>
      </c>
      <c r="I32" s="73" t="s">
        <v>155</v>
      </c>
      <c r="J32" s="73" t="s">
        <v>126</v>
      </c>
      <c r="K32" s="70"/>
      <c r="L32" s="70"/>
      <c r="M32" s="73"/>
      <c r="N32" s="81">
        <v>3.9</v>
      </c>
      <c r="O32" s="74">
        <f>3.9*200</f>
        <v>780</v>
      </c>
      <c r="P32" s="74">
        <f>5.8*200</f>
        <v>1160</v>
      </c>
      <c r="Q32" s="75">
        <f>4.5*200</f>
        <v>900</v>
      </c>
      <c r="R32" t="s">
        <v>260</v>
      </c>
    </row>
    <row r="33" spans="1:18" ht="15" hidden="1" customHeight="1" x14ac:dyDescent="0.25">
      <c r="A33" s="4"/>
      <c r="B33" s="4"/>
      <c r="C33" s="4"/>
      <c r="D33" s="6"/>
      <c r="E33" s="86"/>
      <c r="F33" s="7"/>
      <c r="G33" s="10"/>
      <c r="H33" s="7"/>
      <c r="I33" s="7"/>
      <c r="J33" s="6"/>
      <c r="K33" s="6"/>
      <c r="L33" s="6"/>
      <c r="M33" s="6"/>
      <c r="N33" s="16"/>
      <c r="O33" s="6"/>
      <c r="P33" s="6"/>
      <c r="Q33" s="6"/>
    </row>
    <row r="34" spans="1:18" ht="15" hidden="1" customHeight="1" x14ac:dyDescent="0.25">
      <c r="A34" s="4"/>
      <c r="B34" s="4"/>
      <c r="C34" s="4"/>
      <c r="D34" s="6"/>
      <c r="E34" s="86"/>
      <c r="F34" s="7"/>
      <c r="G34" s="10"/>
      <c r="H34" s="7"/>
      <c r="I34" s="7"/>
      <c r="J34" s="6"/>
      <c r="K34" s="6"/>
      <c r="L34" s="6"/>
      <c r="M34" s="6"/>
      <c r="N34" s="16"/>
      <c r="O34" s="6"/>
      <c r="P34" s="6"/>
      <c r="Q34" s="6"/>
    </row>
    <row r="35" spans="1:18" ht="15" hidden="1" customHeight="1" x14ac:dyDescent="0.25">
      <c r="A35" s="4"/>
      <c r="B35" s="4"/>
      <c r="C35" s="4"/>
      <c r="D35" s="6"/>
      <c r="E35" s="86"/>
      <c r="F35" s="7"/>
      <c r="G35" s="10"/>
      <c r="H35" s="7"/>
      <c r="I35" s="7"/>
      <c r="J35" s="6"/>
      <c r="K35" s="6"/>
      <c r="L35" s="6"/>
      <c r="M35" s="6"/>
      <c r="N35" s="16"/>
      <c r="O35" s="6"/>
      <c r="P35" s="6"/>
      <c r="Q35" s="6"/>
    </row>
    <row r="36" spans="1:18" ht="15" hidden="1" customHeight="1" x14ac:dyDescent="0.25">
      <c r="A36" s="4"/>
      <c r="B36" s="4"/>
      <c r="C36" s="4"/>
      <c r="D36" s="6"/>
      <c r="E36" s="86"/>
      <c r="F36" s="7"/>
      <c r="G36" s="10"/>
      <c r="H36" s="7"/>
      <c r="I36" s="7"/>
      <c r="J36" s="6"/>
      <c r="K36" s="6"/>
      <c r="L36" s="6"/>
      <c r="M36" s="6"/>
      <c r="N36" s="16"/>
      <c r="O36" s="6"/>
      <c r="P36" s="6"/>
      <c r="Q36" s="6"/>
    </row>
    <row r="37" spans="1:18" ht="21.95" customHeight="1" x14ac:dyDescent="0.25">
      <c r="A37" s="37" t="s">
        <v>244</v>
      </c>
      <c r="B37" s="4">
        <v>8</v>
      </c>
      <c r="C37" s="4" t="s">
        <v>191</v>
      </c>
      <c r="D37" s="6" t="s">
        <v>161</v>
      </c>
      <c r="E37" s="86" t="s">
        <v>34</v>
      </c>
      <c r="F37" s="18" t="s">
        <v>9</v>
      </c>
      <c r="G37" s="73" t="s">
        <v>51</v>
      </c>
      <c r="H37" s="73" t="s">
        <v>226</v>
      </c>
      <c r="I37" s="73" t="s">
        <v>124</v>
      </c>
      <c r="J37" s="73" t="s">
        <v>142</v>
      </c>
      <c r="K37" s="70"/>
      <c r="L37" s="70"/>
      <c r="M37" s="73"/>
      <c r="N37" s="81">
        <v>4.5999999999999996</v>
      </c>
      <c r="O37" s="74">
        <v>3680</v>
      </c>
      <c r="P37" s="74" t="s">
        <v>304</v>
      </c>
      <c r="Q37" s="75">
        <v>4800</v>
      </c>
    </row>
    <row r="38" spans="1:18" ht="21.95" customHeight="1" x14ac:dyDescent="0.25">
      <c r="A38" s="37" t="s">
        <v>244</v>
      </c>
      <c r="B38" s="4">
        <v>9</v>
      </c>
      <c r="C38" s="4" t="s">
        <v>191</v>
      </c>
      <c r="D38" s="6" t="s">
        <v>161</v>
      </c>
      <c r="E38" s="86"/>
      <c r="F38" s="18" t="s">
        <v>33</v>
      </c>
      <c r="G38" s="73" t="s">
        <v>51</v>
      </c>
      <c r="H38" s="73" t="s">
        <v>226</v>
      </c>
      <c r="I38" s="73" t="s">
        <v>124</v>
      </c>
      <c r="J38" s="73" t="s">
        <v>126</v>
      </c>
      <c r="K38" s="70"/>
      <c r="L38" s="70"/>
      <c r="M38" s="73"/>
      <c r="N38" s="81">
        <v>10.4</v>
      </c>
      <c r="O38" s="74">
        <v>1872</v>
      </c>
      <c r="P38" s="74" t="s">
        <v>304</v>
      </c>
      <c r="Q38" s="75">
        <f>15.5*200</f>
        <v>3100</v>
      </c>
    </row>
    <row r="39" spans="1:18" ht="15" hidden="1" customHeight="1" x14ac:dyDescent="0.25">
      <c r="A39" s="4"/>
      <c r="B39" s="4"/>
      <c r="C39" s="4" t="s">
        <v>190</v>
      </c>
      <c r="D39" s="6" t="s">
        <v>185</v>
      </c>
      <c r="E39" s="86"/>
      <c r="F39" s="12" t="s">
        <v>33</v>
      </c>
      <c r="G39" s="10" t="s">
        <v>85</v>
      </c>
      <c r="H39" s="7"/>
      <c r="I39" s="7" t="s">
        <v>86</v>
      </c>
      <c r="J39" s="6"/>
      <c r="K39" s="6"/>
      <c r="L39" s="6"/>
      <c r="M39" s="6"/>
      <c r="N39" s="16"/>
      <c r="O39" s="6"/>
      <c r="P39" s="6"/>
      <c r="Q39" s="6"/>
    </row>
    <row r="40" spans="1:18" ht="15" hidden="1" customHeight="1" x14ac:dyDescent="0.25">
      <c r="A40" s="4"/>
      <c r="B40" s="4"/>
      <c r="C40" s="4" t="s">
        <v>189</v>
      </c>
      <c r="D40" s="6" t="s">
        <v>206</v>
      </c>
      <c r="E40" s="86"/>
      <c r="F40" s="7" t="s">
        <v>33</v>
      </c>
      <c r="G40" s="10" t="s">
        <v>98</v>
      </c>
      <c r="H40" s="7"/>
      <c r="I40" s="7" t="s">
        <v>99</v>
      </c>
      <c r="J40" s="6"/>
      <c r="K40" s="6"/>
      <c r="L40" s="6"/>
      <c r="M40" s="6"/>
      <c r="N40" s="16"/>
      <c r="O40" s="6"/>
      <c r="P40" s="6"/>
      <c r="Q40" s="6"/>
    </row>
    <row r="41" spans="1:18" ht="21.95" customHeight="1" x14ac:dyDescent="0.25">
      <c r="A41" s="37" t="s">
        <v>244</v>
      </c>
      <c r="B41" s="4">
        <v>10</v>
      </c>
      <c r="C41" s="4" t="s">
        <v>191</v>
      </c>
      <c r="D41" s="6" t="s">
        <v>161</v>
      </c>
      <c r="E41" s="86"/>
      <c r="F41" s="18" t="s">
        <v>53</v>
      </c>
      <c r="G41" s="73" t="s">
        <v>51</v>
      </c>
      <c r="H41" s="73" t="s">
        <v>226</v>
      </c>
      <c r="I41" s="73" t="s">
        <v>124</v>
      </c>
      <c r="J41" s="73" t="s">
        <v>126</v>
      </c>
      <c r="K41" s="70"/>
      <c r="L41" s="70"/>
      <c r="M41" s="73"/>
      <c r="N41" s="81">
        <v>14.4</v>
      </c>
      <c r="O41" s="74">
        <v>2865.6</v>
      </c>
      <c r="P41" s="74" t="s">
        <v>304</v>
      </c>
      <c r="Q41" s="75">
        <v>2865.6</v>
      </c>
    </row>
    <row r="42" spans="1:18" ht="15" hidden="1" customHeight="1" x14ac:dyDescent="0.25">
      <c r="A42" s="4"/>
      <c r="B42" s="4"/>
      <c r="C42" s="4" t="s">
        <v>189</v>
      </c>
      <c r="D42" s="6" t="s">
        <v>169</v>
      </c>
      <c r="E42" s="86"/>
      <c r="F42" s="7" t="s">
        <v>53</v>
      </c>
      <c r="G42" s="10" t="s">
        <v>56</v>
      </c>
      <c r="H42" s="7" t="s">
        <v>57</v>
      </c>
      <c r="I42" s="7" t="s">
        <v>58</v>
      </c>
      <c r="J42" s="6"/>
      <c r="K42" s="6"/>
      <c r="L42" s="6"/>
      <c r="M42" s="6"/>
      <c r="N42" s="16"/>
      <c r="O42" s="6"/>
      <c r="P42" s="6"/>
      <c r="Q42" s="6"/>
    </row>
    <row r="43" spans="1:18" ht="15" hidden="1" customHeight="1" x14ac:dyDescent="0.25">
      <c r="A43" s="4"/>
      <c r="B43" s="4"/>
      <c r="C43" s="4" t="s">
        <v>190</v>
      </c>
      <c r="D43" s="6" t="s">
        <v>185</v>
      </c>
      <c r="E43" s="86"/>
      <c r="F43" s="7" t="s">
        <v>53</v>
      </c>
      <c r="G43" s="10" t="s">
        <v>85</v>
      </c>
      <c r="H43" s="7"/>
      <c r="I43" s="7" t="s">
        <v>86</v>
      </c>
      <c r="J43" s="6"/>
      <c r="K43" s="6"/>
      <c r="L43" s="6"/>
      <c r="M43" s="6"/>
      <c r="N43" s="16"/>
      <c r="O43" s="6"/>
      <c r="P43" s="6"/>
      <c r="Q43" s="6"/>
    </row>
    <row r="44" spans="1:18" ht="15" hidden="1" customHeight="1" x14ac:dyDescent="0.25">
      <c r="A44" s="4"/>
      <c r="B44" s="4"/>
      <c r="C44" s="4" t="s">
        <v>189</v>
      </c>
      <c r="D44" s="6" t="s">
        <v>206</v>
      </c>
      <c r="E44" s="86"/>
      <c r="F44" s="7" t="s">
        <v>53</v>
      </c>
      <c r="G44" s="10" t="s">
        <v>98</v>
      </c>
      <c r="H44" s="7"/>
      <c r="I44" s="7" t="s">
        <v>99</v>
      </c>
      <c r="J44" s="6"/>
      <c r="K44" s="6"/>
      <c r="L44" s="6"/>
      <c r="M44" s="6"/>
      <c r="N44" s="16"/>
      <c r="O44" s="6"/>
      <c r="P44" s="6"/>
      <c r="Q44" s="6"/>
    </row>
    <row r="45" spans="1:18" ht="15" hidden="1" customHeight="1" x14ac:dyDescent="0.25">
      <c r="A45" s="4"/>
      <c r="B45" s="4"/>
      <c r="C45" s="6"/>
      <c r="D45" s="6"/>
      <c r="E45" s="86"/>
      <c r="F45" s="7"/>
      <c r="G45" s="10"/>
      <c r="H45" s="7"/>
      <c r="I45" s="7"/>
      <c r="J45" s="6"/>
      <c r="K45" s="6"/>
      <c r="L45" s="6"/>
      <c r="M45" s="6"/>
      <c r="N45" s="16"/>
      <c r="O45" s="6"/>
      <c r="P45" s="6"/>
      <c r="Q45" s="6"/>
    </row>
    <row r="46" spans="1:18" ht="15" hidden="1" customHeight="1" x14ac:dyDescent="0.25">
      <c r="A46" s="4"/>
      <c r="B46" s="4"/>
      <c r="C46" s="6"/>
      <c r="D46" s="6"/>
      <c r="E46" s="86"/>
      <c r="F46" s="7"/>
      <c r="G46" s="10"/>
      <c r="H46" s="7"/>
      <c r="I46" s="7"/>
      <c r="J46" s="6"/>
      <c r="K46" s="6"/>
      <c r="L46" s="6"/>
      <c r="M46" s="6"/>
      <c r="N46" s="16"/>
      <c r="O46" s="6"/>
      <c r="P46" s="6"/>
      <c r="Q46" s="6"/>
    </row>
    <row r="47" spans="1:18" ht="15" hidden="1" customHeight="1" x14ac:dyDescent="0.25">
      <c r="A47" s="4"/>
      <c r="B47" s="4"/>
      <c r="C47" s="4" t="s">
        <v>189</v>
      </c>
      <c r="D47" s="6" t="s">
        <v>169</v>
      </c>
      <c r="E47" s="86" t="s">
        <v>10</v>
      </c>
      <c r="F47" s="7" t="s">
        <v>107</v>
      </c>
      <c r="G47" s="15" t="s">
        <v>56</v>
      </c>
      <c r="H47" s="7" t="s">
        <v>57</v>
      </c>
      <c r="I47" s="7" t="s">
        <v>58</v>
      </c>
      <c r="J47" s="6"/>
      <c r="K47" s="6"/>
      <c r="L47" s="6"/>
      <c r="M47" s="6"/>
      <c r="N47" s="16"/>
      <c r="O47" s="6"/>
      <c r="P47" s="6"/>
      <c r="Q47" s="6"/>
    </row>
    <row r="48" spans="1:18" ht="21.95" customHeight="1" x14ac:dyDescent="0.25">
      <c r="A48" s="4" t="s">
        <v>244</v>
      </c>
      <c r="B48" s="4">
        <v>11</v>
      </c>
      <c r="C48" s="4" t="s">
        <v>189</v>
      </c>
      <c r="D48" s="6" t="s">
        <v>169</v>
      </c>
      <c r="E48" s="86"/>
      <c r="F48" s="18" t="s">
        <v>156</v>
      </c>
      <c r="G48" s="73" t="s">
        <v>56</v>
      </c>
      <c r="H48" s="73" t="s">
        <v>248</v>
      </c>
      <c r="I48" s="73" t="s">
        <v>58</v>
      </c>
      <c r="J48" s="73" t="s">
        <v>213</v>
      </c>
      <c r="K48" s="70"/>
      <c r="L48" s="70"/>
      <c r="M48" s="73"/>
      <c r="N48" s="81">
        <v>4.0999999999999996</v>
      </c>
      <c r="O48" s="75">
        <f>4.1*3000</f>
        <v>12299.999999999998</v>
      </c>
      <c r="P48" s="76">
        <f>5.7*3000</f>
        <v>17100</v>
      </c>
      <c r="Q48" s="77">
        <f>6.85*3000</f>
        <v>20550</v>
      </c>
      <c r="R48" s="35" t="s">
        <v>249</v>
      </c>
    </row>
    <row r="49" spans="1:18" ht="15" hidden="1" customHeight="1" x14ac:dyDescent="0.25">
      <c r="A49" s="4"/>
      <c r="B49" s="4"/>
      <c r="C49" s="4" t="s">
        <v>190</v>
      </c>
      <c r="D49" s="6" t="s">
        <v>207</v>
      </c>
      <c r="E49" s="86"/>
      <c r="F49" s="28" t="s">
        <v>106</v>
      </c>
      <c r="G49" s="29" t="s">
        <v>54</v>
      </c>
      <c r="H49" s="28" t="s">
        <v>55</v>
      </c>
      <c r="I49" s="28" t="s">
        <v>108</v>
      </c>
      <c r="J49" s="30"/>
      <c r="K49" s="30"/>
      <c r="L49" s="30"/>
      <c r="M49" s="30"/>
      <c r="N49" s="31">
        <v>4.5999999999999996</v>
      </c>
      <c r="O49" s="6"/>
      <c r="P49" s="6"/>
      <c r="Q49" s="6"/>
    </row>
    <row r="50" spans="1:18" ht="15" hidden="1" customHeight="1" x14ac:dyDescent="0.25">
      <c r="A50" s="4"/>
      <c r="B50" s="4"/>
      <c r="C50" s="4" t="s">
        <v>209</v>
      </c>
      <c r="D50" s="6" t="s">
        <v>208</v>
      </c>
      <c r="E50" s="86"/>
      <c r="F50" s="7" t="s">
        <v>105</v>
      </c>
      <c r="G50" s="10" t="s">
        <v>59</v>
      </c>
      <c r="H50" s="7" t="s">
        <v>60</v>
      </c>
      <c r="I50" s="7" t="s">
        <v>61</v>
      </c>
      <c r="J50" s="6"/>
      <c r="K50" s="6"/>
      <c r="L50" s="6"/>
      <c r="M50" s="6"/>
      <c r="N50" s="16"/>
      <c r="O50" s="6"/>
      <c r="P50" s="6"/>
      <c r="Q50" s="6"/>
    </row>
    <row r="51" spans="1:18" ht="21.95" customHeight="1" x14ac:dyDescent="0.25">
      <c r="A51" s="4" t="s">
        <v>244</v>
      </c>
      <c r="B51" s="4">
        <v>12</v>
      </c>
      <c r="C51" s="4" t="s">
        <v>188</v>
      </c>
      <c r="D51" s="6" t="s">
        <v>170</v>
      </c>
      <c r="E51" s="86"/>
      <c r="F51" s="18" t="s">
        <v>136</v>
      </c>
      <c r="G51" s="73" t="s">
        <v>137</v>
      </c>
      <c r="H51" s="73" t="s">
        <v>255</v>
      </c>
      <c r="I51" s="73" t="s">
        <v>256</v>
      </c>
      <c r="J51" s="73" t="s">
        <v>213</v>
      </c>
      <c r="K51" s="70"/>
      <c r="L51" s="70"/>
      <c r="M51" s="73"/>
      <c r="N51" s="81">
        <v>4</v>
      </c>
      <c r="O51" s="74">
        <f>4*3000</f>
        <v>12000</v>
      </c>
      <c r="P51" s="74" t="s">
        <v>304</v>
      </c>
      <c r="Q51" s="5"/>
      <c r="R51" s="35" t="s">
        <v>257</v>
      </c>
    </row>
    <row r="52" spans="1:18" ht="21.95" customHeight="1" x14ac:dyDescent="0.25">
      <c r="A52" s="4" t="s">
        <v>244</v>
      </c>
      <c r="B52" s="4">
        <v>13</v>
      </c>
      <c r="C52" s="4" t="s">
        <v>194</v>
      </c>
      <c r="D52" s="6" t="s">
        <v>171</v>
      </c>
      <c r="E52" s="86" t="s">
        <v>11</v>
      </c>
      <c r="F52" s="18" t="s">
        <v>78</v>
      </c>
      <c r="G52" s="73" t="s">
        <v>77</v>
      </c>
      <c r="H52" s="73" t="s">
        <v>241</v>
      </c>
      <c r="I52" s="73" t="s">
        <v>240</v>
      </c>
      <c r="J52" s="73" t="s">
        <v>134</v>
      </c>
      <c r="K52" s="70"/>
      <c r="L52" s="70"/>
      <c r="M52" s="73">
        <v>28.9</v>
      </c>
      <c r="N52" s="81">
        <v>25.2</v>
      </c>
      <c r="O52" s="78">
        <f>25.2*50</f>
        <v>1260</v>
      </c>
      <c r="P52" s="78">
        <f>28.9*50</f>
        <v>1445</v>
      </c>
      <c r="Q52" s="75">
        <f>34*50</f>
        <v>1700</v>
      </c>
    </row>
    <row r="53" spans="1:18" ht="15" hidden="1" customHeight="1" x14ac:dyDescent="0.25">
      <c r="A53" s="4"/>
      <c r="B53" s="4"/>
      <c r="C53" s="6"/>
      <c r="D53" s="6"/>
      <c r="E53" s="86"/>
      <c r="F53" s="22" t="s">
        <v>89</v>
      </c>
      <c r="G53" s="23" t="s">
        <v>139</v>
      </c>
      <c r="H53" s="22"/>
      <c r="I53" s="22"/>
      <c r="J53" s="24"/>
      <c r="K53" s="24"/>
      <c r="L53" s="24"/>
      <c r="M53" s="24"/>
      <c r="N53" s="27">
        <v>17</v>
      </c>
      <c r="O53" s="6"/>
      <c r="P53" s="6"/>
      <c r="Q53" s="6"/>
    </row>
    <row r="54" spans="1:18" ht="15" hidden="1" customHeight="1" x14ac:dyDescent="0.25">
      <c r="A54" s="4"/>
      <c r="B54" s="4"/>
      <c r="C54" s="6"/>
      <c r="D54" s="6"/>
      <c r="E54" s="86"/>
      <c r="F54" s="7"/>
      <c r="G54" s="10"/>
      <c r="H54" s="7"/>
      <c r="I54" s="7"/>
      <c r="J54" s="6"/>
      <c r="K54" s="6"/>
      <c r="L54" s="6"/>
      <c r="M54" s="6"/>
      <c r="N54" s="16"/>
      <c r="O54" s="6"/>
      <c r="P54" s="6"/>
      <c r="Q54" s="6"/>
    </row>
    <row r="55" spans="1:18" ht="15" hidden="1" customHeight="1" x14ac:dyDescent="0.25">
      <c r="A55" s="4"/>
      <c r="B55" s="4"/>
      <c r="C55" s="6"/>
      <c r="D55" s="6"/>
      <c r="E55" s="86"/>
      <c r="F55" s="7"/>
      <c r="G55" s="10"/>
      <c r="H55" s="7"/>
      <c r="I55" s="7"/>
      <c r="J55" s="6"/>
      <c r="K55" s="6"/>
      <c r="L55" s="6"/>
      <c r="M55" s="6"/>
      <c r="N55" s="16"/>
      <c r="O55" s="6"/>
      <c r="P55" s="6"/>
      <c r="Q55" s="6"/>
    </row>
    <row r="56" spans="1:18" ht="15" hidden="1" customHeight="1" x14ac:dyDescent="0.25">
      <c r="A56" s="4"/>
      <c r="B56" s="4"/>
      <c r="C56" s="6"/>
      <c r="D56" s="6"/>
      <c r="E56" s="86"/>
      <c r="F56" s="7"/>
      <c r="G56" s="10"/>
      <c r="H56" s="7"/>
      <c r="I56" s="7"/>
      <c r="J56" s="6"/>
      <c r="K56" s="6"/>
      <c r="L56" s="6"/>
      <c r="M56" s="6"/>
      <c r="N56" s="16"/>
      <c r="O56" s="6"/>
      <c r="P56" s="6"/>
      <c r="Q56" s="6"/>
    </row>
    <row r="57" spans="1:18" ht="21.95" customHeight="1" x14ac:dyDescent="0.25">
      <c r="A57" s="4" t="s">
        <v>244</v>
      </c>
      <c r="B57" s="4">
        <v>14</v>
      </c>
      <c r="C57" s="4" t="s">
        <v>188</v>
      </c>
      <c r="D57" s="6" t="s">
        <v>164</v>
      </c>
      <c r="E57" s="86" t="s">
        <v>12</v>
      </c>
      <c r="F57" s="18" t="s">
        <v>62</v>
      </c>
      <c r="G57" s="73" t="s">
        <v>29</v>
      </c>
      <c r="H57" s="73" t="s">
        <v>30</v>
      </c>
      <c r="I57" s="73" t="s">
        <v>131</v>
      </c>
      <c r="J57" s="73" t="s">
        <v>214</v>
      </c>
      <c r="K57" s="70"/>
      <c r="L57" s="70"/>
      <c r="M57" s="73"/>
      <c r="N57" s="81">
        <v>6.3</v>
      </c>
      <c r="O57" s="74">
        <f>6.3*400</f>
        <v>2520</v>
      </c>
      <c r="P57" s="74">
        <f>6.9*400</f>
        <v>2760</v>
      </c>
      <c r="Q57" s="75">
        <f>7.27*400</f>
        <v>2908</v>
      </c>
    </row>
    <row r="58" spans="1:18" ht="15" hidden="1" customHeight="1" x14ac:dyDescent="0.25">
      <c r="A58" s="4"/>
      <c r="B58" s="4"/>
      <c r="C58" s="4" t="s">
        <v>189</v>
      </c>
      <c r="D58" s="6" t="s">
        <v>169</v>
      </c>
      <c r="E58" s="86"/>
      <c r="F58" s="7"/>
      <c r="G58" s="10" t="s">
        <v>56</v>
      </c>
      <c r="H58" s="7" t="s">
        <v>57</v>
      </c>
      <c r="I58" s="7" t="s">
        <v>58</v>
      </c>
      <c r="J58" s="6"/>
      <c r="K58" s="6"/>
      <c r="L58" s="6"/>
      <c r="M58" s="6"/>
      <c r="N58" s="16"/>
      <c r="O58" s="6"/>
      <c r="P58" s="6"/>
      <c r="Q58" s="6"/>
    </row>
    <row r="59" spans="1:18" ht="15" hidden="1" customHeight="1" x14ac:dyDescent="0.25">
      <c r="A59" s="4"/>
      <c r="B59" s="4"/>
      <c r="C59" s="6"/>
      <c r="D59" s="6"/>
      <c r="E59" s="86"/>
      <c r="F59" s="7"/>
      <c r="G59" s="10"/>
      <c r="H59" s="7"/>
      <c r="I59" s="7"/>
      <c r="J59" s="6"/>
      <c r="K59" s="6"/>
      <c r="L59" s="6"/>
      <c r="M59" s="6"/>
      <c r="N59" s="16"/>
      <c r="O59" s="6"/>
      <c r="P59" s="6"/>
      <c r="Q59" s="6"/>
    </row>
    <row r="60" spans="1:18" ht="15" hidden="1" customHeight="1" x14ac:dyDescent="0.25">
      <c r="A60" s="4"/>
      <c r="B60" s="4"/>
      <c r="C60" s="6"/>
      <c r="D60" s="6"/>
      <c r="E60" s="86"/>
      <c r="F60" s="7"/>
      <c r="G60" s="10"/>
      <c r="H60" s="7"/>
      <c r="I60" s="7"/>
      <c r="J60" s="6"/>
      <c r="K60" s="6"/>
      <c r="L60" s="6"/>
      <c r="M60" s="6"/>
      <c r="N60" s="16"/>
      <c r="O60" s="6"/>
      <c r="P60" s="6"/>
      <c r="Q60" s="6"/>
    </row>
    <row r="61" spans="1:18" ht="15" hidden="1" customHeight="1" x14ac:dyDescent="0.25">
      <c r="A61" s="4"/>
      <c r="B61" s="4"/>
      <c r="C61" s="6"/>
      <c r="D61" s="6"/>
      <c r="E61" s="86"/>
      <c r="F61" s="7"/>
      <c r="G61" s="10"/>
      <c r="H61" s="7"/>
      <c r="I61" s="7"/>
      <c r="J61" s="6"/>
      <c r="K61" s="6"/>
      <c r="L61" s="6"/>
      <c r="M61" s="6"/>
      <c r="N61" s="16"/>
      <c r="O61" s="6"/>
      <c r="P61" s="6"/>
      <c r="Q61" s="6"/>
    </row>
    <row r="62" spans="1:18" ht="15" hidden="1" customHeight="1" x14ac:dyDescent="0.25">
      <c r="A62" s="4"/>
      <c r="B62" s="4"/>
      <c r="C62" s="4" t="s">
        <v>209</v>
      </c>
      <c r="D62" s="6" t="s">
        <v>208</v>
      </c>
      <c r="E62" s="86" t="s">
        <v>13</v>
      </c>
      <c r="F62" s="7" t="s">
        <v>115</v>
      </c>
      <c r="G62" s="10" t="s">
        <v>59</v>
      </c>
      <c r="H62" s="7" t="s">
        <v>60</v>
      </c>
      <c r="I62" s="7" t="s">
        <v>61</v>
      </c>
      <c r="J62" s="6"/>
      <c r="K62" s="6"/>
      <c r="L62" s="6"/>
      <c r="M62" s="6"/>
      <c r="N62" s="16"/>
      <c r="O62" s="6"/>
      <c r="P62" s="6"/>
      <c r="Q62" s="6"/>
    </row>
    <row r="63" spans="1:18" ht="15" hidden="1" customHeight="1" x14ac:dyDescent="0.25">
      <c r="A63" s="4"/>
      <c r="B63" s="4"/>
      <c r="C63" s="4" t="s">
        <v>189</v>
      </c>
      <c r="D63" s="6" t="s">
        <v>169</v>
      </c>
      <c r="E63" s="86"/>
      <c r="F63" s="7"/>
      <c r="G63" s="10" t="s">
        <v>56</v>
      </c>
      <c r="H63" s="7" t="s">
        <v>57</v>
      </c>
      <c r="I63" s="7" t="s">
        <v>58</v>
      </c>
      <c r="J63" s="6"/>
      <c r="K63" s="6"/>
      <c r="L63" s="6"/>
      <c r="M63" s="6"/>
      <c r="N63" s="16"/>
      <c r="O63" s="6"/>
      <c r="P63" s="6"/>
      <c r="Q63" s="6"/>
    </row>
    <row r="64" spans="1:18" ht="21.95" customHeight="1" x14ac:dyDescent="0.25">
      <c r="A64" s="4" t="s">
        <v>244</v>
      </c>
      <c r="B64" s="4">
        <v>15</v>
      </c>
      <c r="C64" s="4" t="s">
        <v>188</v>
      </c>
      <c r="D64" s="6" t="s">
        <v>164</v>
      </c>
      <c r="E64" s="86"/>
      <c r="F64" s="18" t="s">
        <v>132</v>
      </c>
      <c r="G64" s="73" t="s">
        <v>29</v>
      </c>
      <c r="H64" s="73" t="s">
        <v>30</v>
      </c>
      <c r="I64" s="73" t="s">
        <v>131</v>
      </c>
      <c r="J64" s="73" t="s">
        <v>214</v>
      </c>
      <c r="K64" s="70"/>
      <c r="L64" s="70"/>
      <c r="M64" s="73"/>
      <c r="N64" s="81">
        <v>6.63</v>
      </c>
      <c r="O64" s="74">
        <f>6.63*400</f>
        <v>2652</v>
      </c>
      <c r="P64" s="76">
        <f>6.9*400</f>
        <v>2760</v>
      </c>
      <c r="Q64" s="75">
        <f>7.27*400</f>
        <v>2908</v>
      </c>
    </row>
    <row r="65" spans="1:17" ht="15" hidden="1" customHeight="1" x14ac:dyDescent="0.25">
      <c r="A65" s="4"/>
      <c r="B65" s="4"/>
      <c r="C65" s="4"/>
      <c r="D65" s="6"/>
      <c r="E65" s="86"/>
      <c r="F65" s="7"/>
      <c r="G65" s="10"/>
      <c r="H65" s="7"/>
      <c r="I65" s="7"/>
      <c r="J65" s="6"/>
      <c r="K65" s="6"/>
      <c r="L65" s="6"/>
      <c r="M65" s="6"/>
      <c r="N65" s="16"/>
      <c r="O65" s="6"/>
      <c r="P65" s="6"/>
      <c r="Q65" s="6"/>
    </row>
    <row r="66" spans="1:17" ht="15" hidden="1" customHeight="1" x14ac:dyDescent="0.25">
      <c r="A66" s="4"/>
      <c r="B66" s="4"/>
      <c r="C66" s="4"/>
      <c r="D66" s="6"/>
      <c r="E66" s="86"/>
      <c r="F66" s="7"/>
      <c r="G66" s="10"/>
      <c r="H66" s="7"/>
      <c r="I66" s="7"/>
      <c r="J66" s="6"/>
      <c r="K66" s="6"/>
      <c r="L66" s="6"/>
      <c r="M66" s="6"/>
      <c r="N66" s="16"/>
      <c r="O66" s="6"/>
      <c r="P66" s="6"/>
      <c r="Q66" s="6"/>
    </row>
    <row r="67" spans="1:17" ht="21.95" customHeight="1" x14ac:dyDescent="0.25">
      <c r="A67" s="4" t="s">
        <v>244</v>
      </c>
      <c r="B67" s="4">
        <v>16</v>
      </c>
      <c r="C67" s="4" t="s">
        <v>188</v>
      </c>
      <c r="D67" s="6" t="s">
        <v>164</v>
      </c>
      <c r="E67" s="86" t="s">
        <v>14</v>
      </c>
      <c r="F67" s="18" t="s">
        <v>69</v>
      </c>
      <c r="G67" s="73" t="s">
        <v>29</v>
      </c>
      <c r="H67" s="73" t="s">
        <v>30</v>
      </c>
      <c r="I67" s="73" t="s">
        <v>46</v>
      </c>
      <c r="J67" s="73" t="s">
        <v>214</v>
      </c>
      <c r="K67" s="70"/>
      <c r="L67" s="70"/>
      <c r="M67" s="73"/>
      <c r="N67" s="81">
        <v>6.46</v>
      </c>
      <c r="O67" s="74">
        <f>6.46*400</f>
        <v>2584</v>
      </c>
      <c r="P67" s="76">
        <f>6.9*400</f>
        <v>2760</v>
      </c>
      <c r="Q67" s="75">
        <f>7.05*400</f>
        <v>2820</v>
      </c>
    </row>
    <row r="68" spans="1:17" ht="15" hidden="1" customHeight="1" x14ac:dyDescent="0.25">
      <c r="A68" s="4"/>
      <c r="B68" s="4"/>
      <c r="C68" s="4" t="s">
        <v>190</v>
      </c>
      <c r="D68" s="6" t="s">
        <v>207</v>
      </c>
      <c r="E68" s="86"/>
      <c r="F68" s="7" t="s">
        <v>70</v>
      </c>
      <c r="G68" s="10" t="s">
        <v>54</v>
      </c>
      <c r="H68" s="7" t="s">
        <v>55</v>
      </c>
      <c r="I68" s="7" t="s">
        <v>108</v>
      </c>
      <c r="J68" s="6"/>
      <c r="K68" s="6"/>
      <c r="L68" s="6"/>
      <c r="M68" s="6"/>
      <c r="N68" s="16"/>
      <c r="O68" s="6"/>
      <c r="P68" s="6"/>
      <c r="Q68" s="6"/>
    </row>
    <row r="69" spans="1:17" ht="15" hidden="1" customHeight="1" x14ac:dyDescent="0.25">
      <c r="A69" s="4"/>
      <c r="B69" s="4"/>
      <c r="C69" s="4" t="s">
        <v>189</v>
      </c>
      <c r="D69" s="6" t="s">
        <v>169</v>
      </c>
      <c r="E69" s="86"/>
      <c r="F69" s="7"/>
      <c r="G69" s="10" t="s">
        <v>56</v>
      </c>
      <c r="H69" s="7" t="s">
        <v>57</v>
      </c>
      <c r="I69" s="7" t="s">
        <v>58</v>
      </c>
      <c r="J69" s="6"/>
      <c r="K69" s="6"/>
      <c r="L69" s="6"/>
      <c r="M69" s="6"/>
      <c r="N69" s="16"/>
      <c r="O69" s="6"/>
      <c r="P69" s="6"/>
      <c r="Q69" s="6"/>
    </row>
    <row r="70" spans="1:17" ht="15" hidden="1" customHeight="1" x14ac:dyDescent="0.25">
      <c r="A70" s="4"/>
      <c r="B70" s="4"/>
      <c r="C70" s="6"/>
      <c r="D70" s="6"/>
      <c r="E70" s="86"/>
      <c r="F70" s="7"/>
      <c r="G70" s="10"/>
      <c r="H70" s="7"/>
      <c r="I70" s="7"/>
      <c r="J70" s="6"/>
      <c r="K70" s="6"/>
      <c r="L70" s="6"/>
      <c r="M70" s="6"/>
      <c r="N70" s="16"/>
      <c r="O70" s="6"/>
      <c r="P70" s="6"/>
      <c r="Q70" s="6"/>
    </row>
    <row r="71" spans="1:17" ht="15" hidden="1" customHeight="1" x14ac:dyDescent="0.25">
      <c r="A71" s="4"/>
      <c r="B71" s="4"/>
      <c r="C71" s="6"/>
      <c r="D71" s="6"/>
      <c r="E71" s="86"/>
      <c r="F71" s="7"/>
      <c r="G71" s="10"/>
      <c r="H71" s="7"/>
      <c r="I71" s="7"/>
      <c r="J71" s="6"/>
      <c r="K71" s="6"/>
      <c r="L71" s="6"/>
      <c r="M71" s="6"/>
      <c r="N71" s="16"/>
      <c r="O71" s="6"/>
      <c r="P71" s="6"/>
      <c r="Q71" s="6"/>
    </row>
    <row r="72" spans="1:17" ht="15" hidden="1" customHeight="1" x14ac:dyDescent="0.25">
      <c r="A72" s="4"/>
      <c r="B72" s="4"/>
      <c r="C72" s="4" t="s">
        <v>188</v>
      </c>
      <c r="D72" s="6" t="s">
        <v>164</v>
      </c>
      <c r="E72" s="86" t="s">
        <v>15</v>
      </c>
      <c r="F72" s="7" t="s">
        <v>112</v>
      </c>
      <c r="G72" s="10" t="s">
        <v>29</v>
      </c>
      <c r="H72" s="7" t="s">
        <v>30</v>
      </c>
      <c r="I72" s="7" t="s">
        <v>46</v>
      </c>
      <c r="J72" s="6"/>
      <c r="K72" s="6"/>
      <c r="L72" s="6"/>
      <c r="M72" s="6"/>
      <c r="N72" s="16"/>
      <c r="O72" s="6"/>
      <c r="P72" s="6"/>
      <c r="Q72" s="6"/>
    </row>
    <row r="73" spans="1:17" ht="15" hidden="1" customHeight="1" x14ac:dyDescent="0.25">
      <c r="A73" s="4"/>
      <c r="B73" s="4">
        <v>17</v>
      </c>
      <c r="C73" s="4" t="s">
        <v>188</v>
      </c>
      <c r="D73" s="6" t="s">
        <v>164</v>
      </c>
      <c r="E73" s="86"/>
      <c r="F73" s="18" t="s">
        <v>113</v>
      </c>
      <c r="G73" s="19" t="s">
        <v>29</v>
      </c>
      <c r="H73" s="18" t="s">
        <v>30</v>
      </c>
      <c r="I73" s="18" t="s">
        <v>46</v>
      </c>
      <c r="J73" s="20" t="s">
        <v>126</v>
      </c>
      <c r="K73" s="18"/>
      <c r="L73" s="18" t="s">
        <v>215</v>
      </c>
      <c r="M73" s="18"/>
      <c r="N73" s="50">
        <v>18.93</v>
      </c>
      <c r="O73" s="6"/>
      <c r="P73" s="6"/>
      <c r="Q73" s="51">
        <f>7.05*200</f>
        <v>1410</v>
      </c>
    </row>
    <row r="74" spans="1:17" ht="15" hidden="1" customHeight="1" x14ac:dyDescent="0.25">
      <c r="A74" s="4"/>
      <c r="B74" s="4"/>
      <c r="C74" s="4" t="s">
        <v>188</v>
      </c>
      <c r="D74" s="6" t="s">
        <v>164</v>
      </c>
      <c r="E74" s="86"/>
      <c r="F74" s="22" t="s">
        <v>114</v>
      </c>
      <c r="G74" s="23" t="s">
        <v>29</v>
      </c>
      <c r="H74" s="22" t="s">
        <v>30</v>
      </c>
      <c r="I74" s="22" t="s">
        <v>46</v>
      </c>
      <c r="J74" s="24"/>
      <c r="K74" s="6"/>
      <c r="L74" s="6"/>
      <c r="M74" s="6"/>
      <c r="N74" s="16"/>
      <c r="O74" s="6"/>
      <c r="P74" s="6"/>
      <c r="Q74" s="6"/>
    </row>
    <row r="75" spans="1:17" ht="15" hidden="1" customHeight="1" x14ac:dyDescent="0.25">
      <c r="A75" s="4"/>
      <c r="B75" s="4"/>
      <c r="C75" s="6"/>
      <c r="D75" s="6"/>
      <c r="E75" s="86"/>
      <c r="F75" s="7"/>
      <c r="G75" s="10"/>
      <c r="H75" s="7"/>
      <c r="I75" s="7"/>
      <c r="J75" s="6"/>
      <c r="K75" s="6"/>
      <c r="L75" s="6"/>
      <c r="M75" s="6"/>
      <c r="N75" s="16"/>
      <c r="O75" s="6"/>
      <c r="P75" s="6"/>
      <c r="Q75" s="6"/>
    </row>
    <row r="76" spans="1:17" ht="15" hidden="1" customHeight="1" x14ac:dyDescent="0.25">
      <c r="A76" s="4"/>
      <c r="B76" s="4"/>
      <c r="C76" s="6"/>
      <c r="D76" s="6"/>
      <c r="E76" s="86"/>
      <c r="F76" s="22"/>
      <c r="G76" s="23"/>
      <c r="H76" s="22"/>
      <c r="I76" s="22"/>
      <c r="J76" s="24"/>
      <c r="K76" s="24"/>
      <c r="L76" s="24"/>
      <c r="M76" s="24"/>
      <c r="N76" s="27"/>
      <c r="O76" s="6"/>
      <c r="P76" s="6"/>
      <c r="Q76" s="6"/>
    </row>
    <row r="77" spans="1:17" ht="21.95" customHeight="1" x14ac:dyDescent="0.25">
      <c r="A77" s="4" t="s">
        <v>244</v>
      </c>
      <c r="B77" s="4">
        <v>18</v>
      </c>
      <c r="C77" s="4" t="s">
        <v>190</v>
      </c>
      <c r="D77" s="6" t="s">
        <v>172</v>
      </c>
      <c r="E77" s="86" t="s">
        <v>74</v>
      </c>
      <c r="F77" s="18"/>
      <c r="G77" s="73" t="s">
        <v>72</v>
      </c>
      <c r="H77" s="73" t="s">
        <v>228</v>
      </c>
      <c r="I77" s="73" t="s">
        <v>73</v>
      </c>
      <c r="J77" s="73" t="s">
        <v>140</v>
      </c>
      <c r="K77" s="71"/>
      <c r="L77" s="70"/>
      <c r="M77" s="73"/>
      <c r="N77" s="81" t="s">
        <v>229</v>
      </c>
      <c r="O77" s="74">
        <f>0.98*200</f>
        <v>196</v>
      </c>
      <c r="P77" s="76">
        <f>1.6*200</f>
        <v>320</v>
      </c>
      <c r="Q77" s="75">
        <f>1.9*200</f>
        <v>380</v>
      </c>
    </row>
    <row r="78" spans="1:17" ht="15" hidden="1" customHeight="1" x14ac:dyDescent="0.25">
      <c r="A78" s="4"/>
      <c r="B78" s="4"/>
      <c r="C78" s="4"/>
      <c r="D78" s="6"/>
      <c r="E78" s="86"/>
      <c r="F78" s="7"/>
      <c r="G78" s="10"/>
      <c r="H78" s="7"/>
      <c r="I78" s="7"/>
      <c r="J78" s="6"/>
      <c r="K78" s="4"/>
      <c r="L78" s="6"/>
      <c r="M78" s="6"/>
      <c r="N78" s="16"/>
      <c r="O78" s="6"/>
      <c r="P78" s="6"/>
      <c r="Q78" s="6"/>
    </row>
    <row r="79" spans="1:17" ht="15" hidden="1" customHeight="1" x14ac:dyDescent="0.25">
      <c r="A79" s="4"/>
      <c r="B79" s="4"/>
      <c r="C79" s="4"/>
      <c r="D79" s="6"/>
      <c r="E79" s="86"/>
      <c r="F79" s="7"/>
      <c r="G79" s="10"/>
      <c r="H79" s="7"/>
      <c r="I79" s="7"/>
      <c r="J79" s="6"/>
      <c r="K79" s="6"/>
      <c r="L79" s="6"/>
      <c r="M79" s="6"/>
      <c r="N79" s="16"/>
      <c r="O79" s="6"/>
      <c r="P79" s="6"/>
      <c r="Q79" s="6"/>
    </row>
    <row r="80" spans="1:17" ht="15" hidden="1" customHeight="1" x14ac:dyDescent="0.25">
      <c r="A80" s="4"/>
      <c r="B80" s="4"/>
      <c r="C80" s="4"/>
      <c r="D80" s="6"/>
      <c r="E80" s="86"/>
      <c r="F80" s="7"/>
      <c r="G80" s="10"/>
      <c r="H80" s="7"/>
      <c r="I80" s="7"/>
      <c r="J80" s="6"/>
      <c r="K80" s="6"/>
      <c r="L80" s="6"/>
      <c r="M80" s="6"/>
      <c r="N80" s="16"/>
      <c r="O80" s="6"/>
      <c r="P80" s="6"/>
      <c r="Q80" s="6"/>
    </row>
    <row r="81" spans="1:19" ht="15" hidden="1" customHeight="1" x14ac:dyDescent="0.25">
      <c r="A81" s="4"/>
      <c r="B81" s="4"/>
      <c r="C81" s="4" t="s">
        <v>189</v>
      </c>
      <c r="D81" s="6" t="s">
        <v>169</v>
      </c>
      <c r="E81" s="86" t="s">
        <v>17</v>
      </c>
      <c r="F81" s="7"/>
      <c r="G81" s="10" t="s">
        <v>56</v>
      </c>
      <c r="H81" s="7" t="s">
        <v>57</v>
      </c>
      <c r="I81" s="7" t="s">
        <v>58</v>
      </c>
      <c r="J81" s="6"/>
      <c r="K81" s="6"/>
      <c r="L81" s="6"/>
      <c r="M81" s="6"/>
      <c r="N81" s="16"/>
      <c r="O81" s="6"/>
      <c r="P81" s="6"/>
      <c r="Q81" s="6"/>
    </row>
    <row r="82" spans="1:19" ht="15" hidden="1" customHeight="1" x14ac:dyDescent="0.25">
      <c r="A82" s="4"/>
      <c r="B82" s="4"/>
      <c r="C82" s="4" t="s">
        <v>195</v>
      </c>
      <c r="D82" s="6" t="s">
        <v>173</v>
      </c>
      <c r="E82" s="86"/>
      <c r="F82" s="18" t="s">
        <v>71</v>
      </c>
      <c r="G82" s="19" t="s">
        <v>65</v>
      </c>
      <c r="H82" s="18" t="s">
        <v>66</v>
      </c>
      <c r="I82" s="18" t="s">
        <v>111</v>
      </c>
      <c r="J82" s="20" t="s">
        <v>151</v>
      </c>
      <c r="K82" s="20"/>
      <c r="L82" s="20"/>
      <c r="M82" s="20"/>
      <c r="N82" s="21">
        <v>12</v>
      </c>
      <c r="O82" s="6"/>
      <c r="P82" s="6"/>
      <c r="Q82" s="52">
        <f>18.5*1000</f>
        <v>18500</v>
      </c>
      <c r="S82" s="53"/>
    </row>
    <row r="83" spans="1:19" ht="21.95" customHeight="1" x14ac:dyDescent="0.25">
      <c r="A83" s="4" t="s">
        <v>244</v>
      </c>
      <c r="B83" s="4">
        <v>19</v>
      </c>
      <c r="C83" s="4" t="s">
        <v>191</v>
      </c>
      <c r="D83" s="6" t="s">
        <v>161</v>
      </c>
      <c r="E83" s="86"/>
      <c r="F83" s="18" t="s">
        <v>71</v>
      </c>
      <c r="G83" s="73" t="s">
        <v>51</v>
      </c>
      <c r="H83" s="73"/>
      <c r="I83" s="73" t="s">
        <v>124</v>
      </c>
      <c r="J83" s="73" t="s">
        <v>151</v>
      </c>
      <c r="K83" s="70"/>
      <c r="L83" s="70"/>
      <c r="M83" s="73"/>
      <c r="N83" s="81">
        <v>17.170000000000002</v>
      </c>
      <c r="O83" s="74">
        <f>17.17*1000</f>
        <v>17170</v>
      </c>
      <c r="P83" s="79" t="s">
        <v>304</v>
      </c>
      <c r="Q83" s="74">
        <f>18.5*1000</f>
        <v>18500</v>
      </c>
    </row>
    <row r="84" spans="1:19" ht="15" hidden="1" customHeight="1" x14ac:dyDescent="0.25">
      <c r="A84" s="4"/>
      <c r="B84" s="4"/>
      <c r="C84" s="4"/>
      <c r="D84" s="6"/>
      <c r="E84" s="86"/>
      <c r="F84" s="7"/>
      <c r="G84" s="10"/>
      <c r="H84" s="7"/>
      <c r="I84" s="7"/>
      <c r="J84" s="6"/>
      <c r="K84" s="6"/>
      <c r="L84" s="6"/>
      <c r="M84" s="6"/>
      <c r="N84" s="16"/>
      <c r="O84" s="6"/>
      <c r="P84" s="6"/>
      <c r="Q84" s="6"/>
    </row>
    <row r="85" spans="1:19" ht="15" hidden="1" customHeight="1" x14ac:dyDescent="0.25">
      <c r="A85" s="4"/>
      <c r="B85" s="4"/>
      <c r="C85" s="4"/>
      <c r="D85" s="6"/>
      <c r="E85" s="86"/>
      <c r="F85" s="7"/>
      <c r="G85" s="10"/>
      <c r="H85" s="7"/>
      <c r="I85" s="7"/>
      <c r="J85" s="6"/>
      <c r="K85" s="6"/>
      <c r="L85" s="6"/>
      <c r="M85" s="6"/>
      <c r="N85" s="16"/>
      <c r="O85" s="6"/>
      <c r="P85" s="6"/>
      <c r="Q85" s="6"/>
    </row>
    <row r="86" spans="1:19" ht="15" hidden="1" customHeight="1" x14ac:dyDescent="0.25">
      <c r="A86" s="4"/>
      <c r="B86" s="4"/>
      <c r="C86" s="4" t="s">
        <v>205</v>
      </c>
      <c r="D86" s="7" t="s">
        <v>204</v>
      </c>
      <c r="E86" s="86" t="s">
        <v>18</v>
      </c>
      <c r="F86" s="22"/>
      <c r="G86" s="23" t="s">
        <v>80</v>
      </c>
      <c r="H86" s="22"/>
      <c r="I86" s="22" t="s">
        <v>96</v>
      </c>
      <c r="J86" s="24"/>
      <c r="K86" s="32"/>
      <c r="L86" s="24"/>
      <c r="M86" s="24"/>
      <c r="N86" s="27">
        <v>0.25</v>
      </c>
      <c r="O86" s="6"/>
      <c r="P86" s="6"/>
      <c r="Q86" s="6"/>
    </row>
    <row r="87" spans="1:19" ht="21.95" customHeight="1" x14ac:dyDescent="0.25">
      <c r="A87" s="4" t="s">
        <v>244</v>
      </c>
      <c r="B87" s="4">
        <v>20</v>
      </c>
      <c r="C87" s="4" t="s">
        <v>180</v>
      </c>
      <c r="D87" s="6" t="s">
        <v>174</v>
      </c>
      <c r="E87" s="86"/>
      <c r="F87" s="18"/>
      <c r="G87" s="71" t="s">
        <v>175</v>
      </c>
      <c r="H87" s="73" t="s">
        <v>264</v>
      </c>
      <c r="I87" s="73" t="s">
        <v>258</v>
      </c>
      <c r="J87" s="73" t="s">
        <v>150</v>
      </c>
      <c r="K87" s="71"/>
      <c r="L87" s="69"/>
      <c r="M87" s="73"/>
      <c r="N87" s="73">
        <v>0.24</v>
      </c>
      <c r="O87" s="75">
        <f>0.24*5000</f>
        <v>1200</v>
      </c>
      <c r="P87" s="76">
        <f>O87</f>
        <v>1200</v>
      </c>
      <c r="Q87" s="77">
        <f>0.65*5000</f>
        <v>3250</v>
      </c>
    </row>
    <row r="88" spans="1:19" ht="15" hidden="1" customHeight="1" x14ac:dyDescent="0.25">
      <c r="A88" s="4"/>
      <c r="B88" s="4"/>
      <c r="C88" s="4" t="s">
        <v>203</v>
      </c>
      <c r="D88" s="7" t="s">
        <v>202</v>
      </c>
      <c r="E88" s="86"/>
      <c r="F88" s="22"/>
      <c r="G88" s="23" t="s">
        <v>81</v>
      </c>
      <c r="H88" s="22"/>
      <c r="I88" s="22" t="s">
        <v>95</v>
      </c>
      <c r="J88" s="24"/>
      <c r="K88" s="32"/>
      <c r="L88" s="24"/>
      <c r="M88" s="24"/>
      <c r="N88" s="27"/>
      <c r="O88" s="6"/>
      <c r="P88" s="6"/>
      <c r="Q88" s="6"/>
    </row>
    <row r="89" spans="1:19" ht="15" hidden="1" customHeight="1" x14ac:dyDescent="0.25">
      <c r="A89" s="4"/>
      <c r="B89" s="4"/>
      <c r="C89" s="4"/>
      <c r="D89" s="6"/>
      <c r="E89" s="86"/>
      <c r="F89" s="7"/>
      <c r="G89" s="10"/>
      <c r="H89" s="7"/>
      <c r="I89" s="7"/>
      <c r="J89" s="6"/>
      <c r="K89" s="4"/>
      <c r="L89" s="6"/>
      <c r="M89" s="6"/>
      <c r="N89" s="16"/>
      <c r="O89" s="6"/>
      <c r="P89" s="6"/>
      <c r="Q89" s="6"/>
    </row>
    <row r="90" spans="1:19" ht="15" hidden="1" customHeight="1" x14ac:dyDescent="0.25">
      <c r="A90" s="4"/>
      <c r="B90" s="4"/>
      <c r="C90" s="4"/>
      <c r="D90" s="6"/>
      <c r="E90" s="86" t="s">
        <v>19</v>
      </c>
      <c r="F90" s="22"/>
      <c r="G90" s="23" t="s">
        <v>80</v>
      </c>
      <c r="H90" s="22"/>
      <c r="I90" s="22" t="s">
        <v>96</v>
      </c>
      <c r="J90" s="24"/>
      <c r="K90" s="32"/>
      <c r="L90" s="24"/>
      <c r="M90" s="24"/>
      <c r="N90" s="27"/>
      <c r="O90" s="6"/>
      <c r="P90" s="6"/>
      <c r="Q90" s="6"/>
    </row>
    <row r="91" spans="1:19" ht="15" hidden="1" customHeight="1" x14ac:dyDescent="0.25">
      <c r="A91" s="4"/>
      <c r="B91" s="4"/>
      <c r="C91" s="4"/>
      <c r="D91" s="6"/>
      <c r="E91" s="86"/>
      <c r="F91" s="22"/>
      <c r="G91" s="23" t="s">
        <v>81</v>
      </c>
      <c r="H91" s="22"/>
      <c r="I91" s="22" t="s">
        <v>95</v>
      </c>
      <c r="J91" s="24"/>
      <c r="K91" s="32"/>
      <c r="L91" s="24"/>
      <c r="M91" s="24"/>
      <c r="N91" s="27">
        <v>0.2</v>
      </c>
      <c r="O91" s="6"/>
      <c r="P91" s="6"/>
      <c r="Q91" s="6"/>
    </row>
    <row r="92" spans="1:19" ht="21.95" customHeight="1" x14ac:dyDescent="0.25">
      <c r="A92" s="4" t="s">
        <v>244</v>
      </c>
      <c r="B92" s="4">
        <v>21</v>
      </c>
      <c r="C92" s="4" t="s">
        <v>180</v>
      </c>
      <c r="D92" s="6" t="s">
        <v>174</v>
      </c>
      <c r="E92" s="86"/>
      <c r="F92" s="18"/>
      <c r="G92" s="71" t="s">
        <v>175</v>
      </c>
      <c r="H92" s="73" t="s">
        <v>264</v>
      </c>
      <c r="I92" s="73" t="s">
        <v>258</v>
      </c>
      <c r="J92" s="73" t="s">
        <v>143</v>
      </c>
      <c r="K92" s="71"/>
      <c r="L92" s="69"/>
      <c r="M92" s="73"/>
      <c r="N92" s="81">
        <v>0.19</v>
      </c>
      <c r="O92" s="75">
        <f>0.19*15000</f>
        <v>2850</v>
      </c>
      <c r="P92" s="76">
        <f>O92</f>
        <v>2850</v>
      </c>
      <c r="Q92" s="77">
        <f>0.49*15000</f>
        <v>7350</v>
      </c>
      <c r="S92" s="55"/>
    </row>
    <row r="93" spans="1:19" ht="15" hidden="1" customHeight="1" x14ac:dyDescent="0.25">
      <c r="A93" s="4"/>
      <c r="B93" s="4"/>
      <c r="C93" s="4"/>
      <c r="D93" s="6"/>
      <c r="E93" s="86"/>
      <c r="F93" s="7"/>
      <c r="G93" s="10"/>
      <c r="H93" s="7"/>
      <c r="I93" s="7"/>
      <c r="J93" s="6"/>
      <c r="K93" s="4"/>
      <c r="L93" s="6"/>
      <c r="M93" s="6"/>
      <c r="N93" s="16"/>
      <c r="O93" s="6"/>
      <c r="P93" s="6"/>
      <c r="Q93" s="6"/>
    </row>
    <row r="94" spans="1:19" ht="15" hidden="1" customHeight="1" x14ac:dyDescent="0.25">
      <c r="A94" s="4"/>
      <c r="B94" s="4"/>
      <c r="C94" s="4"/>
      <c r="D94" s="6"/>
      <c r="E94" s="86" t="s">
        <v>20</v>
      </c>
      <c r="F94" s="22"/>
      <c r="G94" s="23" t="s">
        <v>80</v>
      </c>
      <c r="H94" s="22"/>
      <c r="I94" s="22" t="s">
        <v>96</v>
      </c>
      <c r="J94" s="24"/>
      <c r="K94" s="32"/>
      <c r="L94" s="24"/>
      <c r="M94" s="24"/>
      <c r="N94" s="27">
        <v>0.2</v>
      </c>
      <c r="O94" s="6"/>
      <c r="P94" s="6"/>
      <c r="Q94" s="6"/>
    </row>
    <row r="95" spans="1:19" ht="15" hidden="1" customHeight="1" x14ac:dyDescent="0.25">
      <c r="A95" s="4"/>
      <c r="B95" s="4"/>
      <c r="C95" s="4"/>
      <c r="D95" s="6"/>
      <c r="E95" s="86"/>
      <c r="F95" s="22"/>
      <c r="G95" s="23" t="s">
        <v>81</v>
      </c>
      <c r="H95" s="22"/>
      <c r="I95" s="22" t="s">
        <v>95</v>
      </c>
      <c r="J95" s="24"/>
      <c r="K95" s="32"/>
      <c r="L95" s="24"/>
      <c r="M95" s="24"/>
      <c r="N95" s="27"/>
      <c r="O95" s="6"/>
      <c r="P95" s="6"/>
      <c r="Q95" s="6"/>
    </row>
    <row r="96" spans="1:19" ht="21.95" customHeight="1" x14ac:dyDescent="0.25">
      <c r="A96" s="4" t="s">
        <v>244</v>
      </c>
      <c r="B96" s="4">
        <v>22</v>
      </c>
      <c r="C96" s="4" t="s">
        <v>180</v>
      </c>
      <c r="D96" s="6" t="s">
        <v>174</v>
      </c>
      <c r="E96" s="86"/>
      <c r="F96" s="18"/>
      <c r="G96" s="71" t="s">
        <v>175</v>
      </c>
      <c r="H96" s="73" t="s">
        <v>264</v>
      </c>
      <c r="I96" s="73" t="s">
        <v>258</v>
      </c>
      <c r="J96" s="73" t="s">
        <v>151</v>
      </c>
      <c r="K96" s="71"/>
      <c r="L96" s="69"/>
      <c r="M96" s="73"/>
      <c r="N96" s="81">
        <v>0.16</v>
      </c>
      <c r="O96" s="75">
        <f>0.16*1000</f>
        <v>160</v>
      </c>
      <c r="P96" s="76">
        <f>O96</f>
        <v>160</v>
      </c>
      <c r="Q96" s="77">
        <v>0</v>
      </c>
      <c r="S96" s="55"/>
    </row>
    <row r="97" spans="1:19" ht="15" hidden="1" customHeight="1" x14ac:dyDescent="0.25">
      <c r="A97" s="4"/>
      <c r="B97" s="4"/>
      <c r="C97" s="4"/>
      <c r="D97" s="6"/>
      <c r="E97" s="86"/>
      <c r="F97" s="7"/>
      <c r="G97" s="10"/>
      <c r="H97" s="7"/>
      <c r="I97" s="7"/>
      <c r="J97" s="6"/>
      <c r="K97" s="4"/>
      <c r="L97" s="6"/>
      <c r="M97" s="6"/>
      <c r="N97" s="16"/>
      <c r="O97" s="6"/>
      <c r="P97" s="6"/>
      <c r="Q97" s="6"/>
    </row>
    <row r="98" spans="1:19" ht="15" hidden="1" customHeight="1" x14ac:dyDescent="0.25">
      <c r="A98" s="4"/>
      <c r="B98" s="4"/>
      <c r="C98" s="4"/>
      <c r="D98" s="6"/>
      <c r="E98" s="86" t="s">
        <v>21</v>
      </c>
      <c r="F98" s="22"/>
      <c r="G98" s="23" t="s">
        <v>80</v>
      </c>
      <c r="H98" s="22"/>
      <c r="I98" s="22" t="s">
        <v>96</v>
      </c>
      <c r="J98" s="24"/>
      <c r="K98" s="32"/>
      <c r="L98" s="24"/>
      <c r="M98" s="24"/>
      <c r="N98" s="27">
        <v>0.2</v>
      </c>
      <c r="O98" s="6"/>
      <c r="P98" s="6"/>
      <c r="Q98" s="6"/>
    </row>
    <row r="99" spans="1:19" ht="15" hidden="1" customHeight="1" x14ac:dyDescent="0.25">
      <c r="A99" s="4"/>
      <c r="B99" s="4"/>
      <c r="C99" s="4"/>
      <c r="D99" s="7"/>
      <c r="E99" s="86"/>
      <c r="F99" s="22"/>
      <c r="G99" s="23" t="s">
        <v>81</v>
      </c>
      <c r="H99" s="22"/>
      <c r="I99" s="22" t="s">
        <v>95</v>
      </c>
      <c r="K99" s="32"/>
      <c r="L99" s="24"/>
      <c r="M99" s="24"/>
      <c r="N99" s="27"/>
      <c r="O99" s="6"/>
      <c r="P99" s="6"/>
      <c r="Q99" s="6"/>
    </row>
    <row r="100" spans="1:19" ht="21.95" customHeight="1" x14ac:dyDescent="0.25">
      <c r="A100" s="4" t="s">
        <v>244</v>
      </c>
      <c r="B100" s="4">
        <v>23</v>
      </c>
      <c r="C100" s="4" t="s">
        <v>180</v>
      </c>
      <c r="D100" s="6" t="s">
        <v>174</v>
      </c>
      <c r="E100" s="86"/>
      <c r="F100" s="18"/>
      <c r="G100" s="71" t="s">
        <v>175</v>
      </c>
      <c r="H100" s="73" t="s">
        <v>264</v>
      </c>
      <c r="I100" s="73" t="s">
        <v>258</v>
      </c>
      <c r="J100" s="73" t="s">
        <v>157</v>
      </c>
      <c r="K100" s="71"/>
      <c r="L100" s="69"/>
      <c r="M100" s="73"/>
      <c r="N100" s="81">
        <v>0.15</v>
      </c>
      <c r="O100" s="75">
        <f>0.15*3000</f>
        <v>450</v>
      </c>
      <c r="P100" s="76">
        <f>O100</f>
        <v>450</v>
      </c>
      <c r="Q100" s="77">
        <f>0.49*3000</f>
        <v>1470</v>
      </c>
      <c r="S100" s="55"/>
    </row>
    <row r="101" spans="1:19" ht="15" hidden="1" customHeight="1" x14ac:dyDescent="0.25">
      <c r="A101" s="4"/>
      <c r="B101" s="4"/>
      <c r="C101" s="4"/>
      <c r="D101" s="6"/>
      <c r="E101" s="86"/>
      <c r="F101" s="7"/>
      <c r="G101" s="10"/>
      <c r="H101" s="7"/>
      <c r="I101" s="7"/>
      <c r="J101" s="6"/>
      <c r="K101" s="6"/>
      <c r="L101" s="6"/>
      <c r="M101" s="6"/>
      <c r="N101" s="21"/>
      <c r="O101" s="6"/>
      <c r="P101" s="6"/>
      <c r="Q101" s="6"/>
    </row>
    <row r="102" spans="1:19" ht="15" hidden="1" customHeight="1" x14ac:dyDescent="0.25">
      <c r="A102" s="4"/>
      <c r="B102" s="4"/>
      <c r="C102" s="4"/>
      <c r="D102" s="6"/>
      <c r="E102" s="86" t="s">
        <v>40</v>
      </c>
      <c r="F102" s="22"/>
      <c r="G102" s="23" t="s">
        <v>80</v>
      </c>
      <c r="H102" s="22"/>
      <c r="I102" s="22" t="s">
        <v>96</v>
      </c>
      <c r="J102" s="24"/>
      <c r="K102" s="32"/>
      <c r="L102" s="24"/>
      <c r="M102" s="24"/>
      <c r="N102" s="21">
        <v>0.2</v>
      </c>
      <c r="O102" s="6"/>
      <c r="P102" s="6"/>
      <c r="Q102" s="6"/>
    </row>
    <row r="103" spans="1:19" ht="15" hidden="1" customHeight="1" x14ac:dyDescent="0.25">
      <c r="A103" s="4"/>
      <c r="B103" s="4"/>
      <c r="C103" s="4"/>
      <c r="D103" s="6"/>
      <c r="E103" s="86"/>
      <c r="F103" s="22"/>
      <c r="G103" s="23" t="s">
        <v>81</v>
      </c>
      <c r="H103" s="22"/>
      <c r="I103" s="22" t="s">
        <v>95</v>
      </c>
      <c r="J103" s="24"/>
      <c r="K103" s="32"/>
      <c r="L103" s="24"/>
      <c r="M103" s="24"/>
      <c r="N103" s="21"/>
      <c r="O103" s="6"/>
      <c r="P103" s="6"/>
      <c r="Q103" s="6"/>
    </row>
    <row r="104" spans="1:19" ht="21.95" customHeight="1" x14ac:dyDescent="0.25">
      <c r="A104" s="4" t="s">
        <v>244</v>
      </c>
      <c r="B104" s="4">
        <v>24</v>
      </c>
      <c r="C104" s="4" t="s">
        <v>180</v>
      </c>
      <c r="D104" s="6" t="s">
        <v>174</v>
      </c>
      <c r="E104" s="86"/>
      <c r="F104" s="18"/>
      <c r="G104" s="71" t="s">
        <v>175</v>
      </c>
      <c r="H104" s="73" t="s">
        <v>264</v>
      </c>
      <c r="I104" s="73" t="s">
        <v>258</v>
      </c>
      <c r="J104" s="73" t="s">
        <v>157</v>
      </c>
      <c r="K104" s="71"/>
      <c r="L104" s="69"/>
      <c r="M104" s="73"/>
      <c r="N104" s="81">
        <v>0.33</v>
      </c>
      <c r="O104" s="75">
        <f>0.33*3000</f>
        <v>990</v>
      </c>
      <c r="P104" s="76">
        <f>O104</f>
        <v>990</v>
      </c>
      <c r="Q104" s="77">
        <f>0.5*3000</f>
        <v>1500</v>
      </c>
      <c r="S104" s="55"/>
    </row>
    <row r="105" spans="1:19" ht="15" hidden="1" customHeight="1" x14ac:dyDescent="0.25">
      <c r="A105" s="4"/>
      <c r="B105" s="4"/>
      <c r="C105" s="4"/>
      <c r="D105" s="6"/>
      <c r="E105" s="86"/>
      <c r="F105" s="7"/>
      <c r="G105" s="10"/>
      <c r="H105" s="7"/>
      <c r="I105" s="7"/>
      <c r="J105" s="6"/>
      <c r="K105" s="6"/>
      <c r="L105" s="6"/>
      <c r="M105" s="6"/>
      <c r="N105" s="16"/>
      <c r="O105" s="6"/>
      <c r="P105" s="6"/>
      <c r="Q105" s="6"/>
    </row>
    <row r="106" spans="1:19" ht="21.95" customHeight="1" x14ac:dyDescent="0.25">
      <c r="A106" s="4" t="s">
        <v>244</v>
      </c>
      <c r="B106" s="4">
        <v>25</v>
      </c>
      <c r="C106" s="4" t="s">
        <v>177</v>
      </c>
      <c r="D106" s="7" t="s">
        <v>176</v>
      </c>
      <c r="E106" s="86" t="s">
        <v>16</v>
      </c>
      <c r="F106" s="18"/>
      <c r="G106" s="73" t="s">
        <v>75</v>
      </c>
      <c r="H106" s="73" t="s">
        <v>253</v>
      </c>
      <c r="I106" s="73" t="s">
        <v>252</v>
      </c>
      <c r="J106" s="73" t="s">
        <v>143</v>
      </c>
      <c r="K106" s="71"/>
      <c r="L106" s="70"/>
      <c r="M106" s="73"/>
      <c r="N106" s="81">
        <v>0.7</v>
      </c>
      <c r="O106" s="75">
        <f>0.7*15000</f>
        <v>10500</v>
      </c>
      <c r="P106" s="76">
        <f>O106</f>
        <v>10500</v>
      </c>
      <c r="Q106" s="74">
        <f>1.25*15000</f>
        <v>18750</v>
      </c>
      <c r="S106" s="55"/>
    </row>
    <row r="107" spans="1:19" ht="15" hidden="1" customHeight="1" x14ac:dyDescent="0.25">
      <c r="A107" s="4"/>
      <c r="B107" s="4"/>
      <c r="C107" s="6"/>
      <c r="D107" s="6"/>
      <c r="E107" s="86"/>
      <c r="F107" s="7"/>
      <c r="G107" s="10"/>
      <c r="H107" s="7"/>
      <c r="I107" s="7"/>
      <c r="J107" s="6"/>
      <c r="K107" s="4"/>
      <c r="L107" s="6"/>
      <c r="M107" s="6"/>
      <c r="N107" s="16"/>
      <c r="O107" s="6"/>
      <c r="P107" s="6"/>
      <c r="Q107" s="6"/>
    </row>
    <row r="108" spans="1:19" ht="15" hidden="1" customHeight="1" x14ac:dyDescent="0.25">
      <c r="A108" s="4"/>
      <c r="B108" s="4"/>
      <c r="C108" s="6"/>
      <c r="D108" s="6"/>
      <c r="E108" s="86"/>
      <c r="F108" s="7"/>
      <c r="G108" s="10"/>
      <c r="H108" s="7"/>
      <c r="I108" s="7"/>
      <c r="J108" s="6"/>
      <c r="K108" s="6"/>
      <c r="L108" s="6"/>
      <c r="M108" s="6"/>
      <c r="N108" s="16"/>
      <c r="O108" s="6"/>
      <c r="P108" s="6"/>
      <c r="Q108" s="6"/>
    </row>
    <row r="109" spans="1:19" ht="15" hidden="1" customHeight="1" x14ac:dyDescent="0.25">
      <c r="A109" s="4"/>
      <c r="B109" s="4"/>
      <c r="C109" s="4" t="s">
        <v>211</v>
      </c>
      <c r="D109" s="7" t="s">
        <v>210</v>
      </c>
      <c r="E109" s="86" t="s">
        <v>22</v>
      </c>
      <c r="F109" s="7" t="s">
        <v>79</v>
      </c>
      <c r="G109" s="10" t="s">
        <v>76</v>
      </c>
      <c r="H109" s="7"/>
      <c r="I109" s="7" t="s">
        <v>92</v>
      </c>
      <c r="J109" s="6"/>
      <c r="K109" s="4"/>
      <c r="L109" s="6"/>
      <c r="M109" s="6"/>
      <c r="N109" s="16"/>
      <c r="O109" s="6"/>
      <c r="P109" s="6"/>
      <c r="Q109" s="6"/>
    </row>
    <row r="110" spans="1:19" ht="15" hidden="1" customHeight="1" x14ac:dyDescent="0.25">
      <c r="A110" s="4"/>
      <c r="B110" s="4"/>
      <c r="C110" s="6"/>
      <c r="D110" s="6"/>
      <c r="E110" s="86"/>
      <c r="F110" s="7"/>
      <c r="G110" s="10"/>
      <c r="H110" s="7"/>
      <c r="I110" s="7"/>
      <c r="J110" s="6"/>
      <c r="K110" s="6"/>
      <c r="L110" s="6"/>
      <c r="M110" s="6"/>
      <c r="N110" s="16"/>
      <c r="O110" s="6"/>
      <c r="P110" s="6"/>
      <c r="Q110" s="6"/>
    </row>
    <row r="111" spans="1:19" ht="15" hidden="1" customHeight="1" x14ac:dyDescent="0.25">
      <c r="A111" s="4"/>
      <c r="B111" s="4"/>
      <c r="C111" s="6"/>
      <c r="D111" s="6"/>
      <c r="E111" s="86"/>
      <c r="F111" s="7"/>
      <c r="G111" s="10"/>
      <c r="H111" s="7"/>
      <c r="I111" s="7"/>
      <c r="J111" s="6"/>
      <c r="K111" s="6"/>
      <c r="L111" s="6"/>
      <c r="M111" s="6"/>
      <c r="N111" s="16"/>
      <c r="O111" s="6"/>
      <c r="P111" s="6"/>
      <c r="Q111" s="6"/>
    </row>
    <row r="112" spans="1:19" ht="21.95" customHeight="1" x14ac:dyDescent="0.25">
      <c r="A112" s="4" t="s">
        <v>244</v>
      </c>
      <c r="B112" s="4">
        <v>26</v>
      </c>
      <c r="C112" s="4" t="s">
        <v>178</v>
      </c>
      <c r="D112" s="6" t="s">
        <v>179</v>
      </c>
      <c r="E112" s="86" t="s">
        <v>23</v>
      </c>
      <c r="F112" s="18" t="s">
        <v>90</v>
      </c>
      <c r="G112" s="73" t="s">
        <v>82</v>
      </c>
      <c r="H112" s="73" t="s">
        <v>97</v>
      </c>
      <c r="I112" s="73" t="s">
        <v>110</v>
      </c>
      <c r="J112" s="73" t="s">
        <v>144</v>
      </c>
      <c r="K112" s="70"/>
      <c r="L112" s="70"/>
      <c r="M112" s="73"/>
      <c r="N112" s="81" t="s">
        <v>245</v>
      </c>
      <c r="O112" s="75">
        <v>8160</v>
      </c>
      <c r="P112" s="76">
        <f>O112</f>
        <v>8160</v>
      </c>
      <c r="Q112" s="74">
        <f>1.8*12000</f>
        <v>21600</v>
      </c>
      <c r="S112" s="55"/>
    </row>
    <row r="113" spans="1:19" ht="15" hidden="1" customHeight="1" x14ac:dyDescent="0.25">
      <c r="A113" s="4"/>
      <c r="B113" s="4"/>
      <c r="C113" s="6"/>
      <c r="D113" s="6"/>
      <c r="E113" s="86"/>
      <c r="F113" s="7"/>
      <c r="G113" s="10"/>
      <c r="H113" s="7"/>
      <c r="I113" s="7"/>
      <c r="J113" s="6"/>
      <c r="K113" s="6"/>
      <c r="L113" s="6"/>
      <c r="M113" s="6"/>
      <c r="N113" s="16"/>
      <c r="O113" s="6"/>
      <c r="P113" s="6"/>
      <c r="Q113" s="6"/>
    </row>
    <row r="114" spans="1:19" ht="15" hidden="1" customHeight="1" x14ac:dyDescent="0.25">
      <c r="A114" s="4"/>
      <c r="B114" s="4"/>
      <c r="C114" s="6"/>
      <c r="D114" s="6"/>
      <c r="E114" s="86"/>
      <c r="F114" s="7"/>
      <c r="G114" s="10"/>
      <c r="H114" s="7"/>
      <c r="I114" s="7"/>
      <c r="J114" s="6"/>
      <c r="K114" s="6"/>
      <c r="L114" s="6"/>
      <c r="M114" s="6"/>
      <c r="N114" s="16"/>
      <c r="O114" s="6"/>
      <c r="P114" s="6"/>
      <c r="Q114" s="6"/>
    </row>
    <row r="115" spans="1:19" ht="15" hidden="1" customHeight="1" x14ac:dyDescent="0.25">
      <c r="A115" s="4"/>
      <c r="B115" s="4"/>
      <c r="C115" s="6"/>
      <c r="D115" s="6"/>
      <c r="E115" s="86" t="s">
        <v>24</v>
      </c>
      <c r="F115" s="7"/>
      <c r="G115" s="23" t="s">
        <v>80</v>
      </c>
      <c r="H115" s="7"/>
      <c r="I115" s="7" t="s">
        <v>96</v>
      </c>
      <c r="J115" s="6"/>
      <c r="K115" s="6"/>
      <c r="L115" s="6"/>
      <c r="M115" s="6"/>
      <c r="N115" s="16">
        <v>0.25</v>
      </c>
      <c r="O115" s="6"/>
      <c r="P115" s="6"/>
      <c r="Q115" s="6"/>
    </row>
    <row r="116" spans="1:19" ht="15" hidden="1" customHeight="1" x14ac:dyDescent="0.25">
      <c r="A116" s="4"/>
      <c r="B116" s="6"/>
      <c r="C116" s="6"/>
      <c r="D116" s="6"/>
      <c r="E116" s="86"/>
      <c r="F116" s="22"/>
      <c r="G116" s="23" t="s">
        <v>81</v>
      </c>
      <c r="H116" s="22"/>
      <c r="I116" s="22" t="s">
        <v>95</v>
      </c>
      <c r="J116" s="24"/>
      <c r="K116" s="24"/>
      <c r="L116" s="24"/>
      <c r="M116" s="24"/>
      <c r="N116" s="27"/>
      <c r="O116" s="6"/>
      <c r="P116" s="6"/>
      <c r="Q116" s="6"/>
    </row>
    <row r="117" spans="1:19" hidden="1" x14ac:dyDescent="0.25">
      <c r="A117" s="4"/>
      <c r="B117" s="4">
        <v>27</v>
      </c>
      <c r="C117" s="4" t="s">
        <v>180</v>
      </c>
      <c r="D117" s="6" t="s">
        <v>174</v>
      </c>
      <c r="E117" s="86"/>
      <c r="F117" s="18"/>
      <c r="G117" s="18" t="s">
        <v>175</v>
      </c>
      <c r="H117" s="18" t="s">
        <v>259</v>
      </c>
      <c r="I117" s="18" t="s">
        <v>258</v>
      </c>
      <c r="J117" s="18" t="s">
        <v>150</v>
      </c>
      <c r="K117" s="25"/>
      <c r="L117" s="18"/>
      <c r="M117" s="18"/>
      <c r="N117" s="50">
        <v>0.24</v>
      </c>
      <c r="O117" s="51">
        <v>0</v>
      </c>
      <c r="P117" s="51"/>
      <c r="Q117" s="51">
        <v>0</v>
      </c>
      <c r="S117" s="55"/>
    </row>
    <row r="118" spans="1:19" ht="15" hidden="1" customHeight="1" x14ac:dyDescent="0.25">
      <c r="A118" s="4"/>
      <c r="B118" s="4"/>
      <c r="C118" s="6"/>
      <c r="D118" s="6"/>
      <c r="E118" s="86" t="s">
        <v>38</v>
      </c>
      <c r="F118" s="7"/>
      <c r="G118" s="10"/>
      <c r="H118" s="7"/>
      <c r="I118" s="7"/>
      <c r="J118" s="6"/>
      <c r="K118" s="6"/>
      <c r="L118" s="6"/>
      <c r="M118" s="6"/>
      <c r="N118" s="16"/>
      <c r="O118" s="6"/>
      <c r="P118" s="6"/>
      <c r="Q118" s="6"/>
    </row>
    <row r="119" spans="1:19" ht="15" hidden="1" customHeight="1" x14ac:dyDescent="0.25">
      <c r="A119" s="4"/>
      <c r="B119" s="4"/>
      <c r="C119" s="6"/>
      <c r="D119" s="6"/>
      <c r="E119" s="86"/>
      <c r="F119" s="7"/>
      <c r="G119" s="10"/>
      <c r="H119" s="7"/>
      <c r="I119" s="7"/>
      <c r="J119" s="6"/>
      <c r="K119" s="6"/>
      <c r="L119" s="6"/>
      <c r="M119" s="6"/>
      <c r="N119" s="16"/>
      <c r="O119" s="6"/>
      <c r="P119" s="6"/>
      <c r="Q119" s="6"/>
    </row>
    <row r="120" spans="1:19" ht="15" hidden="1" customHeight="1" x14ac:dyDescent="0.25">
      <c r="A120" s="4"/>
      <c r="B120" s="4"/>
      <c r="C120" s="6"/>
      <c r="D120" s="6"/>
      <c r="E120" s="86"/>
      <c r="F120" s="7"/>
      <c r="G120" s="10"/>
      <c r="H120" s="7"/>
      <c r="I120" s="7"/>
      <c r="J120" s="6"/>
      <c r="K120" s="6"/>
      <c r="L120" s="6"/>
      <c r="M120" s="6"/>
      <c r="N120" s="16"/>
      <c r="O120" s="6"/>
      <c r="P120" s="6"/>
      <c r="Q120" s="6"/>
    </row>
    <row r="121" spans="1:19" ht="15" hidden="1" customHeight="1" x14ac:dyDescent="0.25">
      <c r="A121" s="4"/>
      <c r="B121" s="4"/>
      <c r="C121" s="4" t="s">
        <v>201</v>
      </c>
      <c r="D121" s="6" t="s">
        <v>200</v>
      </c>
      <c r="E121" s="33" t="s">
        <v>39</v>
      </c>
      <c r="F121" s="7" t="s">
        <v>117</v>
      </c>
      <c r="G121" s="23" t="s">
        <v>25</v>
      </c>
      <c r="H121" s="22" t="s">
        <v>32</v>
      </c>
      <c r="I121" s="22" t="s">
        <v>119</v>
      </c>
      <c r="J121" s="24"/>
      <c r="K121" s="24"/>
      <c r="L121" s="24" t="s">
        <v>217</v>
      </c>
      <c r="M121" s="24"/>
      <c r="N121" s="27">
        <v>3</v>
      </c>
      <c r="O121" s="6"/>
      <c r="P121" s="6"/>
      <c r="Q121" s="6"/>
      <c r="S121" s="1"/>
    </row>
    <row r="122" spans="1:19" ht="15" hidden="1" customHeight="1" x14ac:dyDescent="0.25">
      <c r="A122" s="4"/>
      <c r="B122" s="4"/>
      <c r="C122" s="4" t="s">
        <v>201</v>
      </c>
      <c r="D122" s="6" t="s">
        <v>200</v>
      </c>
      <c r="E122" s="33"/>
      <c r="F122" s="7" t="s">
        <v>118</v>
      </c>
      <c r="G122" s="23" t="s">
        <v>25</v>
      </c>
      <c r="H122" s="22" t="s">
        <v>32</v>
      </c>
      <c r="I122" s="22" t="s">
        <v>119</v>
      </c>
      <c r="J122" s="24"/>
      <c r="K122" s="24"/>
      <c r="L122" s="24"/>
      <c r="M122" s="24"/>
      <c r="N122" s="27"/>
      <c r="O122" s="6"/>
      <c r="P122" s="6"/>
      <c r="Q122" s="6"/>
    </row>
    <row r="123" spans="1:19" ht="15" hidden="1" customHeight="1" x14ac:dyDescent="0.25">
      <c r="A123" s="4"/>
      <c r="B123" s="4"/>
      <c r="C123" s="6"/>
      <c r="D123" s="6"/>
      <c r="E123" s="33"/>
      <c r="F123" s="7"/>
      <c r="G123" s="10"/>
      <c r="H123" s="7"/>
      <c r="I123" s="7"/>
      <c r="J123" s="6"/>
      <c r="K123" s="6"/>
      <c r="L123" s="6"/>
      <c r="M123" s="6"/>
      <c r="N123" s="16"/>
      <c r="O123" s="6"/>
      <c r="P123" s="6"/>
      <c r="Q123" s="6"/>
    </row>
    <row r="124" spans="1:19" ht="15" hidden="1" customHeight="1" x14ac:dyDescent="0.25">
      <c r="A124" s="4"/>
      <c r="B124" s="4"/>
      <c r="C124" s="6"/>
      <c r="D124" s="6"/>
      <c r="E124" s="33"/>
      <c r="F124" s="8"/>
      <c r="G124" s="11"/>
      <c r="H124" s="8"/>
      <c r="I124" s="8"/>
      <c r="J124" s="9"/>
      <c r="K124" s="9"/>
      <c r="L124" s="6"/>
      <c r="M124" s="9"/>
      <c r="N124" s="17"/>
      <c r="O124" s="6"/>
      <c r="P124" s="6"/>
      <c r="Q124" s="6"/>
    </row>
    <row r="125" spans="1:19" ht="15" hidden="1" customHeight="1" x14ac:dyDescent="0.25">
      <c r="A125" s="4"/>
      <c r="B125" s="4"/>
      <c r="C125" s="4" t="s">
        <v>199</v>
      </c>
      <c r="D125" s="6" t="s">
        <v>198</v>
      </c>
      <c r="E125" s="86" t="s">
        <v>63</v>
      </c>
      <c r="F125" s="7" t="s">
        <v>67</v>
      </c>
      <c r="G125" s="23" t="s">
        <v>68</v>
      </c>
      <c r="H125" s="22" t="s">
        <v>44</v>
      </c>
      <c r="I125" s="22" t="s">
        <v>45</v>
      </c>
      <c r="J125" s="24"/>
      <c r="K125" s="32"/>
      <c r="L125" s="24"/>
      <c r="M125" s="24"/>
      <c r="N125" s="27">
        <v>3.5</v>
      </c>
      <c r="O125" s="6"/>
      <c r="P125" s="6"/>
      <c r="Q125" s="6"/>
    </row>
    <row r="126" spans="1:19" ht="15" hidden="1" customHeight="1" x14ac:dyDescent="0.25">
      <c r="A126" s="4"/>
      <c r="B126" s="4"/>
      <c r="C126" s="4" t="s">
        <v>187</v>
      </c>
      <c r="D126" s="6" t="s">
        <v>186</v>
      </c>
      <c r="E126" s="86"/>
      <c r="F126" s="4"/>
      <c r="G126" s="10" t="s">
        <v>47</v>
      </c>
      <c r="H126" s="7" t="s">
        <v>48</v>
      </c>
      <c r="I126" s="7" t="s">
        <v>49</v>
      </c>
      <c r="J126" s="6"/>
      <c r="K126" s="4"/>
      <c r="L126" s="6"/>
      <c r="M126" s="6"/>
      <c r="N126" s="16"/>
      <c r="O126" s="6"/>
      <c r="P126" s="6"/>
      <c r="Q126" s="6"/>
    </row>
    <row r="127" spans="1:19" ht="21.95" customHeight="1" x14ac:dyDescent="0.25">
      <c r="A127" s="4" t="s">
        <v>244</v>
      </c>
      <c r="B127" s="4">
        <v>28</v>
      </c>
      <c r="C127" s="4" t="s">
        <v>196</v>
      </c>
      <c r="D127" s="6" t="s">
        <v>181</v>
      </c>
      <c r="E127" s="86"/>
      <c r="F127" s="18" t="s">
        <v>147</v>
      </c>
      <c r="G127" s="73" t="s">
        <v>148</v>
      </c>
      <c r="H127" s="73" t="s">
        <v>254</v>
      </c>
      <c r="I127" s="73" t="s">
        <v>267</v>
      </c>
      <c r="J127" s="73" t="s">
        <v>299</v>
      </c>
      <c r="K127" s="71"/>
      <c r="L127" s="70" t="s">
        <v>262</v>
      </c>
      <c r="M127" s="70"/>
      <c r="N127" s="81">
        <v>3.4</v>
      </c>
      <c r="O127" s="74">
        <f>3.4*210</f>
        <v>714</v>
      </c>
      <c r="P127" s="76">
        <f>4.95*214</f>
        <v>1059.3</v>
      </c>
      <c r="Q127" s="75">
        <f>8.5*200</f>
        <v>1700</v>
      </c>
      <c r="R127" s="35" t="s">
        <v>266</v>
      </c>
    </row>
    <row r="128" spans="1:19" ht="15" hidden="1" customHeight="1" x14ac:dyDescent="0.25">
      <c r="A128" s="4"/>
      <c r="B128" s="4"/>
      <c r="C128" s="4" t="s">
        <v>199</v>
      </c>
      <c r="D128" s="6" t="s">
        <v>198</v>
      </c>
      <c r="E128" s="86" t="s">
        <v>64</v>
      </c>
      <c r="F128" s="7" t="s">
        <v>133</v>
      </c>
      <c r="G128" s="23" t="s">
        <v>68</v>
      </c>
      <c r="H128" s="22" t="s">
        <v>44</v>
      </c>
      <c r="I128" s="22" t="s">
        <v>45</v>
      </c>
      <c r="J128" s="24"/>
      <c r="K128" s="32"/>
      <c r="L128" s="24"/>
      <c r="M128" s="24"/>
      <c r="N128" s="27">
        <v>9</v>
      </c>
      <c r="O128" s="6"/>
      <c r="P128" s="6"/>
      <c r="Q128" s="6"/>
    </row>
    <row r="129" spans="1:19" ht="21.95" customHeight="1" x14ac:dyDescent="0.25">
      <c r="A129" s="4" t="s">
        <v>244</v>
      </c>
      <c r="B129" s="4">
        <v>29</v>
      </c>
      <c r="C129" s="4" t="s">
        <v>196</v>
      </c>
      <c r="D129" s="6" t="s">
        <v>181</v>
      </c>
      <c r="E129" s="86"/>
      <c r="F129" s="18" t="s">
        <v>149</v>
      </c>
      <c r="G129" s="73" t="s">
        <v>148</v>
      </c>
      <c r="H129" s="73" t="s">
        <v>254</v>
      </c>
      <c r="I129" s="73" t="s">
        <v>265</v>
      </c>
      <c r="J129" s="73" t="s">
        <v>300</v>
      </c>
      <c r="K129" s="70"/>
      <c r="L129" s="70" t="s">
        <v>263</v>
      </c>
      <c r="M129" s="70"/>
      <c r="N129" s="81">
        <v>7.6</v>
      </c>
      <c r="O129" s="74">
        <f>7.6*200</f>
        <v>1520</v>
      </c>
      <c r="P129" s="74">
        <f>9.8*200</f>
        <v>1960.0000000000002</v>
      </c>
      <c r="Q129" s="75">
        <f>14.5*200</f>
        <v>2900</v>
      </c>
      <c r="S129" s="56"/>
    </row>
    <row r="130" spans="1:19" ht="15" hidden="1" customHeight="1" x14ac:dyDescent="0.25">
      <c r="A130" s="4"/>
      <c r="B130" s="4"/>
      <c r="C130" s="6"/>
      <c r="D130" s="6"/>
      <c r="E130" s="86"/>
      <c r="F130" s="4"/>
      <c r="G130" s="5"/>
      <c r="H130" s="6"/>
      <c r="I130" s="6"/>
      <c r="J130" s="6"/>
      <c r="K130" s="6"/>
      <c r="L130" s="6"/>
      <c r="M130" s="6"/>
      <c r="N130" s="16"/>
      <c r="O130" s="6"/>
      <c r="P130" s="6"/>
      <c r="Q130" s="6"/>
    </row>
    <row r="131" spans="1:19" hidden="1" x14ac:dyDescent="0.25">
      <c r="A131" s="4"/>
      <c r="B131" s="4">
        <v>30</v>
      </c>
      <c r="C131" s="4" t="s">
        <v>197</v>
      </c>
      <c r="D131" s="6" t="s">
        <v>182</v>
      </c>
      <c r="E131" s="7" t="s">
        <v>100</v>
      </c>
      <c r="F131" s="18" t="s">
        <v>101</v>
      </c>
      <c r="G131" s="18" t="s">
        <v>102</v>
      </c>
      <c r="H131" s="18" t="s">
        <v>268</v>
      </c>
      <c r="I131" s="18" t="s">
        <v>103</v>
      </c>
      <c r="J131" s="18" t="s">
        <v>134</v>
      </c>
      <c r="K131" s="25"/>
      <c r="L131" s="18"/>
      <c r="M131" s="18"/>
      <c r="N131" s="36">
        <v>14.35</v>
      </c>
      <c r="O131" s="46">
        <f>14.35*180</f>
        <v>2583</v>
      </c>
      <c r="P131" s="46"/>
      <c r="Q131" s="46">
        <f>11.35*50</f>
        <v>567.5</v>
      </c>
      <c r="R131" s="35" t="s">
        <v>269</v>
      </c>
      <c r="S131" s="54"/>
    </row>
    <row r="132" spans="1:19" ht="15" hidden="1" customHeight="1" x14ac:dyDescent="0.25">
      <c r="A132" s="4"/>
      <c r="B132" s="4"/>
      <c r="C132" s="4"/>
      <c r="D132" s="6"/>
      <c r="E132" s="7"/>
      <c r="F132" s="6"/>
      <c r="G132" s="44"/>
      <c r="H132" s="6"/>
      <c r="I132" s="44"/>
      <c r="J132" s="6"/>
      <c r="K132" s="44"/>
      <c r="L132" s="6"/>
      <c r="M132" s="44"/>
      <c r="N132" s="6"/>
      <c r="O132" s="6"/>
      <c r="P132" s="6"/>
      <c r="Q132" s="6"/>
    </row>
    <row r="133" spans="1:19" ht="15" hidden="1" customHeight="1" x14ac:dyDescent="0.25">
      <c r="A133" s="4"/>
      <c r="B133" s="4"/>
      <c r="C133" s="4"/>
      <c r="D133" s="6"/>
      <c r="E133" s="7"/>
      <c r="F133" s="6"/>
      <c r="G133" s="44"/>
      <c r="H133" s="6"/>
      <c r="I133" s="44"/>
      <c r="J133" s="6"/>
      <c r="K133" s="44"/>
      <c r="L133" s="6"/>
      <c r="M133" s="44"/>
      <c r="N133" s="6"/>
      <c r="O133" s="6"/>
      <c r="P133" s="6"/>
      <c r="Q133" s="6"/>
    </row>
    <row r="134" spans="1:19" ht="15.75" customHeight="1" x14ac:dyDescent="0.25">
      <c r="A134" s="83" t="s">
        <v>224</v>
      </c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5"/>
    </row>
    <row r="135" spans="1:19" ht="15" hidden="1" customHeight="1" x14ac:dyDescent="0.25">
      <c r="A135" s="4"/>
      <c r="B135" s="4"/>
      <c r="C135" s="4" t="s">
        <v>191</v>
      </c>
      <c r="D135" s="6" t="s">
        <v>218</v>
      </c>
      <c r="E135" s="7" t="s">
        <v>219</v>
      </c>
      <c r="F135" s="6"/>
      <c r="G135" s="23" t="s">
        <v>222</v>
      </c>
      <c r="H135" s="6"/>
      <c r="I135" s="6" t="s">
        <v>223</v>
      </c>
      <c r="J135" s="6" t="s">
        <v>220</v>
      </c>
      <c r="K135" s="6"/>
      <c r="L135" s="6" t="s">
        <v>221</v>
      </c>
      <c r="M135" s="6"/>
      <c r="N135" s="6"/>
      <c r="O135" s="6"/>
      <c r="P135" s="6"/>
      <c r="Q135" s="6"/>
    </row>
    <row r="136" spans="1:19" ht="15" hidden="1" customHeight="1" x14ac:dyDescent="0.25">
      <c r="A136" s="4"/>
      <c r="B136" s="4"/>
      <c r="C136" s="4" t="s">
        <v>190</v>
      </c>
      <c r="D136" s="6" t="s">
        <v>207</v>
      </c>
      <c r="E136" s="44" t="s">
        <v>230</v>
      </c>
      <c r="F136" s="4"/>
      <c r="G136" s="23" t="s">
        <v>231</v>
      </c>
      <c r="H136" s="7" t="s">
        <v>55</v>
      </c>
      <c r="I136" s="7" t="s">
        <v>108</v>
      </c>
      <c r="J136" s="6" t="s">
        <v>232</v>
      </c>
      <c r="K136" s="6"/>
      <c r="L136" s="6" t="s">
        <v>221</v>
      </c>
      <c r="M136" s="6"/>
      <c r="N136" s="16"/>
      <c r="O136" s="6"/>
      <c r="P136" s="6"/>
      <c r="Q136" s="6"/>
    </row>
    <row r="137" spans="1:19" ht="15" hidden="1" customHeight="1" x14ac:dyDescent="0.25">
      <c r="A137" s="4"/>
      <c r="B137" s="4"/>
      <c r="C137" s="4" t="s">
        <v>191</v>
      </c>
      <c r="D137" s="6" t="s">
        <v>161</v>
      </c>
      <c r="E137" s="44" t="s">
        <v>233</v>
      </c>
      <c r="F137" s="4"/>
      <c r="G137" s="23" t="s">
        <v>51</v>
      </c>
      <c r="H137" s="7" t="s">
        <v>226</v>
      </c>
      <c r="I137" s="7" t="s">
        <v>124</v>
      </c>
      <c r="J137" s="6" t="s">
        <v>234</v>
      </c>
      <c r="K137" s="6"/>
      <c r="L137" s="6" t="s">
        <v>221</v>
      </c>
      <c r="M137" s="6"/>
      <c r="N137" s="16"/>
      <c r="O137" s="6"/>
      <c r="P137" s="6"/>
      <c r="Q137" s="6"/>
    </row>
    <row r="138" spans="1:19" ht="15" hidden="1" customHeight="1" x14ac:dyDescent="0.25">
      <c r="A138" s="4"/>
      <c r="B138" s="4"/>
      <c r="C138" s="4" t="s">
        <v>188</v>
      </c>
      <c r="D138" s="6" t="s">
        <v>170</v>
      </c>
      <c r="E138" s="45" t="s">
        <v>236</v>
      </c>
      <c r="F138" s="4"/>
      <c r="G138" s="23" t="s">
        <v>238</v>
      </c>
      <c r="H138" s="7" t="s">
        <v>138</v>
      </c>
      <c r="I138" s="7"/>
      <c r="J138" s="6"/>
      <c r="K138" s="6"/>
      <c r="L138" s="6" t="s">
        <v>235</v>
      </c>
      <c r="M138" s="6"/>
      <c r="N138" s="16"/>
      <c r="O138" s="6"/>
      <c r="P138" s="6"/>
      <c r="Q138" s="6"/>
    </row>
    <row r="139" spans="1:19" ht="15" hidden="1" customHeight="1" x14ac:dyDescent="0.25">
      <c r="A139" s="4"/>
      <c r="B139" s="4"/>
      <c r="C139" s="4" t="s">
        <v>190</v>
      </c>
      <c r="D139" s="6" t="s">
        <v>207</v>
      </c>
      <c r="E139" s="44" t="s">
        <v>237</v>
      </c>
      <c r="F139" s="4"/>
      <c r="G139" s="26" t="s">
        <v>231</v>
      </c>
      <c r="H139" s="7" t="s">
        <v>55</v>
      </c>
      <c r="I139" s="7" t="s">
        <v>108</v>
      </c>
      <c r="J139" s="6"/>
      <c r="K139" s="6"/>
      <c r="L139" s="6" t="s">
        <v>235</v>
      </c>
      <c r="M139" s="6"/>
      <c r="N139" s="16"/>
      <c r="O139" s="6"/>
      <c r="P139" s="6"/>
      <c r="Q139" s="6"/>
    </row>
    <row r="140" spans="1:19" x14ac:dyDescent="0.25">
      <c r="A140" s="4"/>
      <c r="B140" s="4"/>
      <c r="C140" s="4"/>
      <c r="D140" s="6"/>
      <c r="E140" s="7"/>
      <c r="F140" s="6"/>
      <c r="G140" s="47"/>
      <c r="H140" s="6"/>
      <c r="I140" s="47"/>
      <c r="J140" s="6"/>
      <c r="K140" s="47"/>
      <c r="L140" s="6"/>
      <c r="M140" s="47"/>
      <c r="N140" s="6"/>
      <c r="O140" s="6"/>
      <c r="P140" s="6"/>
      <c r="Q140" s="6"/>
      <c r="S140" s="53"/>
    </row>
    <row r="141" spans="1:19" x14ac:dyDescent="0.25">
      <c r="A141" s="4"/>
      <c r="B141" s="4"/>
      <c r="C141" s="4"/>
      <c r="D141" s="6"/>
      <c r="E141" s="7"/>
      <c r="F141" s="6"/>
      <c r="G141" s="47"/>
      <c r="H141" s="6"/>
      <c r="I141" s="47"/>
      <c r="J141" s="6"/>
      <c r="K141" s="47"/>
      <c r="L141" s="6"/>
      <c r="M141" s="47"/>
      <c r="N141" s="6"/>
      <c r="O141" s="6"/>
      <c r="P141" s="6"/>
      <c r="Q141" s="6"/>
      <c r="S141" s="53"/>
    </row>
    <row r="142" spans="1:19" x14ac:dyDescent="0.25">
      <c r="E142" s="2"/>
    </row>
    <row r="143" spans="1:19" x14ac:dyDescent="0.25">
      <c r="E143" s="2"/>
    </row>
    <row r="144" spans="1:19" x14ac:dyDescent="0.25">
      <c r="E144" s="2"/>
    </row>
    <row r="145" spans="5:5" x14ac:dyDescent="0.25">
      <c r="E145" s="2"/>
    </row>
    <row r="146" spans="5:5" x14ac:dyDescent="0.25">
      <c r="E146" s="2"/>
    </row>
    <row r="147" spans="5:5" x14ac:dyDescent="0.25">
      <c r="E147" s="2"/>
    </row>
    <row r="148" spans="5:5" x14ac:dyDescent="0.25">
      <c r="E148" s="2"/>
    </row>
    <row r="149" spans="5:5" x14ac:dyDescent="0.25">
      <c r="E149" s="2"/>
    </row>
    <row r="150" spans="5:5" x14ac:dyDescent="0.25">
      <c r="E150" s="2"/>
    </row>
    <row r="151" spans="5:5" x14ac:dyDescent="0.25">
      <c r="E151" s="2"/>
    </row>
    <row r="152" spans="5:5" x14ac:dyDescent="0.25">
      <c r="E152" s="2"/>
    </row>
    <row r="153" spans="5:5" x14ac:dyDescent="0.25">
      <c r="E153" s="2"/>
    </row>
    <row r="154" spans="5:5" x14ac:dyDescent="0.25">
      <c r="E154" s="2"/>
    </row>
    <row r="155" spans="5:5" x14ac:dyDescent="0.25">
      <c r="E155" s="2"/>
    </row>
    <row r="156" spans="5:5" x14ac:dyDescent="0.25">
      <c r="E156" s="2"/>
    </row>
    <row r="157" spans="5:5" x14ac:dyDescent="0.25">
      <c r="E157" s="2"/>
    </row>
    <row r="158" spans="5:5" x14ac:dyDescent="0.25">
      <c r="E158" s="2"/>
    </row>
    <row r="159" spans="5:5" x14ac:dyDescent="0.25">
      <c r="E159" s="2"/>
    </row>
    <row r="160" spans="5:5" x14ac:dyDescent="0.25">
      <c r="E160" s="2"/>
    </row>
    <row r="161" spans="5:5" x14ac:dyDescent="0.25">
      <c r="E161" s="2"/>
    </row>
    <row r="162" spans="5:5" x14ac:dyDescent="0.25">
      <c r="E162" s="2"/>
    </row>
    <row r="163" spans="5:5" x14ac:dyDescent="0.25">
      <c r="E163" s="2"/>
    </row>
    <row r="164" spans="5:5" x14ac:dyDescent="0.25">
      <c r="E164" s="2"/>
    </row>
    <row r="165" spans="5:5" x14ac:dyDescent="0.25">
      <c r="E165" s="2"/>
    </row>
    <row r="166" spans="5:5" x14ac:dyDescent="0.25">
      <c r="E166" s="2"/>
    </row>
    <row r="167" spans="5:5" x14ac:dyDescent="0.25">
      <c r="E167" s="2"/>
    </row>
    <row r="168" spans="5:5" x14ac:dyDescent="0.25">
      <c r="E168" s="2"/>
    </row>
    <row r="169" spans="5:5" x14ac:dyDescent="0.25">
      <c r="E169" s="2"/>
    </row>
    <row r="170" spans="5:5" x14ac:dyDescent="0.25">
      <c r="E170" s="2"/>
    </row>
    <row r="171" spans="5:5" x14ac:dyDescent="0.25">
      <c r="E171" s="2"/>
    </row>
    <row r="172" spans="5:5" x14ac:dyDescent="0.25">
      <c r="E172" s="2"/>
    </row>
    <row r="173" spans="5:5" x14ac:dyDescent="0.25">
      <c r="E173" s="2"/>
    </row>
    <row r="174" spans="5:5" x14ac:dyDescent="0.25">
      <c r="E174" s="2"/>
    </row>
    <row r="175" spans="5:5" x14ac:dyDescent="0.25">
      <c r="E175" s="2"/>
    </row>
    <row r="176" spans="5:5" x14ac:dyDescent="0.25">
      <c r="E176" s="2"/>
    </row>
    <row r="177" spans="5:5" x14ac:dyDescent="0.25">
      <c r="E177" s="2"/>
    </row>
    <row r="178" spans="5:5" x14ac:dyDescent="0.25">
      <c r="E178" s="2"/>
    </row>
    <row r="179" spans="5:5" x14ac:dyDescent="0.25">
      <c r="E179" s="2"/>
    </row>
    <row r="180" spans="5:5" x14ac:dyDescent="0.25">
      <c r="E180" s="2"/>
    </row>
    <row r="181" spans="5:5" x14ac:dyDescent="0.25">
      <c r="E181" s="2"/>
    </row>
    <row r="182" spans="5:5" x14ac:dyDescent="0.25">
      <c r="E182" s="2"/>
    </row>
    <row r="183" spans="5:5" x14ac:dyDescent="0.25">
      <c r="E183" s="2"/>
    </row>
    <row r="184" spans="5:5" x14ac:dyDescent="0.25">
      <c r="E184" s="2"/>
    </row>
    <row r="185" spans="5:5" x14ac:dyDescent="0.25">
      <c r="E185" s="2"/>
    </row>
    <row r="186" spans="5:5" x14ac:dyDescent="0.25">
      <c r="E186" s="2"/>
    </row>
    <row r="187" spans="5:5" x14ac:dyDescent="0.25">
      <c r="E187" s="2"/>
    </row>
  </sheetData>
  <autoFilter ref="A2:H139">
    <filterColumn colId="0">
      <customFilters>
        <customFilter operator="notEqual" val=" "/>
      </customFilters>
    </filterColumn>
  </autoFilter>
  <mergeCells count="31">
    <mergeCell ref="A1:Q1"/>
    <mergeCell ref="E72:E76"/>
    <mergeCell ref="E22:E26"/>
    <mergeCell ref="E27:E31"/>
    <mergeCell ref="E32:E36"/>
    <mergeCell ref="E37:E46"/>
    <mergeCell ref="E47:E51"/>
    <mergeCell ref="E52:E56"/>
    <mergeCell ref="E57:E61"/>
    <mergeCell ref="E62:E66"/>
    <mergeCell ref="E67:E71"/>
    <mergeCell ref="E3:E5"/>
    <mergeCell ref="E6:E8"/>
    <mergeCell ref="E9:E11"/>
    <mergeCell ref="E12:E16"/>
    <mergeCell ref="E77:E80"/>
    <mergeCell ref="E81:E85"/>
    <mergeCell ref="E86:E89"/>
    <mergeCell ref="E90:E93"/>
    <mergeCell ref="E17:E21"/>
    <mergeCell ref="A134:Q134"/>
    <mergeCell ref="E94:E97"/>
    <mergeCell ref="E125:E127"/>
    <mergeCell ref="E128:E130"/>
    <mergeCell ref="E102:E105"/>
    <mergeCell ref="E106:E108"/>
    <mergeCell ref="E109:E111"/>
    <mergeCell ref="E112:E114"/>
    <mergeCell ref="E115:E117"/>
    <mergeCell ref="E118:E120"/>
    <mergeCell ref="E98:E101"/>
  </mergeCells>
  <hyperlinks>
    <hyperlink ref="R12" r:id="rId1"/>
    <hyperlink ref="R17" r:id="rId2"/>
    <hyperlink ref="R48" r:id="rId3"/>
    <hyperlink ref="R29" r:id="rId4"/>
    <hyperlink ref="R51" r:id="rId5"/>
    <hyperlink ref="R127" r:id="rId6"/>
    <hyperlink ref="R131" r:id="rId7"/>
  </hyperlinks>
  <pageMargins left="0.511811024" right="0.511811024" top="0.78740157499999996" bottom="0.78740157499999996" header="0.31496062000000002" footer="0.31496062000000002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opLeftCell="A16" workbookViewId="0">
      <selection activeCell="H47" sqref="H47"/>
    </sheetView>
  </sheetViews>
  <sheetFormatPr defaultRowHeight="15" x14ac:dyDescent="0.25"/>
  <cols>
    <col min="1" max="1" width="27.42578125" customWidth="1"/>
    <col min="2" max="2" width="12.42578125" customWidth="1"/>
    <col min="3" max="3" width="18.28515625" customWidth="1"/>
    <col min="4" max="4" width="18.140625" customWidth="1"/>
    <col min="5" max="5" width="18.42578125" customWidth="1"/>
    <col min="11" max="11" width="12.5703125" customWidth="1"/>
  </cols>
  <sheetData>
    <row r="1" spans="1:11" x14ac:dyDescent="0.25">
      <c r="A1" s="41" t="s">
        <v>270</v>
      </c>
      <c r="B1" s="41" t="s">
        <v>278</v>
      </c>
      <c r="C1" s="41" t="s">
        <v>212</v>
      </c>
      <c r="D1" s="41" t="s">
        <v>310</v>
      </c>
      <c r="E1" s="41" t="s">
        <v>281</v>
      </c>
    </row>
    <row r="2" spans="1:11" x14ac:dyDescent="0.25">
      <c r="A2" s="49" t="s">
        <v>36</v>
      </c>
      <c r="B2" s="46" t="s">
        <v>134</v>
      </c>
      <c r="C2" s="46">
        <v>360</v>
      </c>
      <c r="D2" s="46">
        <v>445</v>
      </c>
      <c r="E2" s="60">
        <v>575</v>
      </c>
    </row>
    <row r="3" spans="1:11" x14ac:dyDescent="0.25">
      <c r="A3" s="48" t="s">
        <v>271</v>
      </c>
      <c r="B3" s="46" t="s">
        <v>242</v>
      </c>
      <c r="C3" s="46">
        <v>1146</v>
      </c>
      <c r="D3" s="61" t="s">
        <v>304</v>
      </c>
      <c r="E3" s="60">
        <v>1725</v>
      </c>
    </row>
    <row r="4" spans="1:11" x14ac:dyDescent="0.25">
      <c r="A4" s="48" t="s">
        <v>5</v>
      </c>
      <c r="B4" s="46" t="s">
        <v>126</v>
      </c>
      <c r="C4" s="46">
        <v>1056.5999999999999</v>
      </c>
      <c r="D4" s="46">
        <v>1360</v>
      </c>
      <c r="E4" s="60">
        <v>1200</v>
      </c>
    </row>
    <row r="5" spans="1:11" x14ac:dyDescent="0.25">
      <c r="A5" s="48" t="s">
        <v>6</v>
      </c>
      <c r="B5" s="46" t="s">
        <v>126</v>
      </c>
      <c r="C5" s="46">
        <v>1000</v>
      </c>
      <c r="D5" s="46">
        <v>1340</v>
      </c>
      <c r="E5" s="60">
        <v>1040</v>
      </c>
    </row>
    <row r="6" spans="1:11" x14ac:dyDescent="0.25">
      <c r="A6" s="48" t="s">
        <v>7</v>
      </c>
      <c r="B6" s="46" t="s">
        <v>141</v>
      </c>
      <c r="C6" s="46">
        <v>1024</v>
      </c>
      <c r="D6" s="46">
        <v>898</v>
      </c>
      <c r="E6" s="60">
        <v>520</v>
      </c>
      <c r="H6" s="88" t="s">
        <v>315</v>
      </c>
      <c r="I6" s="88"/>
      <c r="J6" s="88"/>
      <c r="K6" s="88"/>
    </row>
    <row r="7" spans="1:11" x14ac:dyDescent="0.25">
      <c r="A7" s="48" t="s">
        <v>8</v>
      </c>
      <c r="B7" s="46" t="s">
        <v>126</v>
      </c>
      <c r="C7" s="46">
        <v>627</v>
      </c>
      <c r="D7" s="46">
        <v>940</v>
      </c>
      <c r="E7" s="60">
        <v>1300</v>
      </c>
    </row>
    <row r="8" spans="1:11" x14ac:dyDescent="0.25">
      <c r="A8" s="48" t="s">
        <v>35</v>
      </c>
      <c r="B8" s="46" t="s">
        <v>126</v>
      </c>
      <c r="C8" s="46">
        <v>780</v>
      </c>
      <c r="D8" s="46">
        <v>1160</v>
      </c>
      <c r="E8" s="60">
        <v>900</v>
      </c>
      <c r="H8" s="59" t="s">
        <v>294</v>
      </c>
      <c r="I8" s="59" t="s">
        <v>301</v>
      </c>
      <c r="K8" t="s">
        <v>302</v>
      </c>
    </row>
    <row r="9" spans="1:11" x14ac:dyDescent="0.25">
      <c r="A9" s="48" t="s">
        <v>9</v>
      </c>
      <c r="B9" s="46" t="s">
        <v>142</v>
      </c>
      <c r="C9" s="46">
        <v>3680</v>
      </c>
      <c r="D9" s="61" t="s">
        <v>304</v>
      </c>
      <c r="E9" s="60">
        <v>4800</v>
      </c>
      <c r="H9">
        <v>27</v>
      </c>
      <c r="I9" t="s">
        <v>286</v>
      </c>
      <c r="K9" t="s">
        <v>296</v>
      </c>
    </row>
    <row r="10" spans="1:11" x14ac:dyDescent="0.25">
      <c r="A10" s="48" t="s">
        <v>33</v>
      </c>
      <c r="B10" s="46" t="s">
        <v>126</v>
      </c>
      <c r="C10" s="46">
        <v>1872</v>
      </c>
      <c r="D10" s="61" t="s">
        <v>304</v>
      </c>
      <c r="E10" s="60">
        <v>3100</v>
      </c>
      <c r="H10">
        <v>6</v>
      </c>
      <c r="I10" t="s">
        <v>287</v>
      </c>
      <c r="K10" t="s">
        <v>298</v>
      </c>
    </row>
    <row r="11" spans="1:11" x14ac:dyDescent="0.25">
      <c r="A11" s="48" t="s">
        <v>53</v>
      </c>
      <c r="B11" s="46" t="s">
        <v>126</v>
      </c>
      <c r="C11" s="46">
        <v>2865.6</v>
      </c>
      <c r="D11" s="61" t="s">
        <v>304</v>
      </c>
      <c r="E11" s="60">
        <v>2865.6</v>
      </c>
      <c r="H11">
        <v>12</v>
      </c>
      <c r="I11" t="s">
        <v>288</v>
      </c>
      <c r="K11" t="s">
        <v>296</v>
      </c>
    </row>
    <row r="12" spans="1:11" x14ac:dyDescent="0.25">
      <c r="A12" s="48" t="s">
        <v>156</v>
      </c>
      <c r="B12" s="46" t="s">
        <v>213</v>
      </c>
      <c r="C12" s="52">
        <v>12419.999999999998</v>
      </c>
      <c r="D12" s="60">
        <v>17100</v>
      </c>
      <c r="E12" s="60">
        <v>20550</v>
      </c>
      <c r="H12">
        <v>15</v>
      </c>
      <c r="I12" t="s">
        <v>16</v>
      </c>
      <c r="K12" t="s">
        <v>296</v>
      </c>
    </row>
    <row r="13" spans="1:11" x14ac:dyDescent="0.25">
      <c r="A13" s="48" t="s">
        <v>136</v>
      </c>
      <c r="B13" s="46" t="s">
        <v>213</v>
      </c>
      <c r="C13" s="52">
        <v>12000</v>
      </c>
      <c r="D13" s="46" t="s">
        <v>304</v>
      </c>
      <c r="E13" s="30"/>
      <c r="H13">
        <v>1</v>
      </c>
      <c r="I13" t="s">
        <v>289</v>
      </c>
      <c r="K13" t="s">
        <v>296</v>
      </c>
    </row>
    <row r="14" spans="1:11" x14ac:dyDescent="0.25">
      <c r="A14" s="48" t="s">
        <v>78</v>
      </c>
      <c r="B14" s="46" t="s">
        <v>134</v>
      </c>
      <c r="C14" s="46">
        <v>1260</v>
      </c>
      <c r="D14" s="55">
        <v>1445</v>
      </c>
      <c r="E14" s="60">
        <v>1700</v>
      </c>
      <c r="H14">
        <v>0.05</v>
      </c>
      <c r="I14" t="s">
        <v>290</v>
      </c>
      <c r="K14" t="s">
        <v>296</v>
      </c>
    </row>
    <row r="15" spans="1:11" x14ac:dyDescent="0.25">
      <c r="A15" s="48" t="s">
        <v>62</v>
      </c>
      <c r="B15" s="46" t="s">
        <v>214</v>
      </c>
      <c r="C15" s="46">
        <v>2520</v>
      </c>
      <c r="D15" s="46">
        <v>2760</v>
      </c>
      <c r="E15" s="60">
        <v>2908</v>
      </c>
      <c r="H15">
        <v>0.15</v>
      </c>
      <c r="I15" t="s">
        <v>291</v>
      </c>
      <c r="K15" t="s">
        <v>296</v>
      </c>
    </row>
    <row r="16" spans="1:11" x14ac:dyDescent="0.25">
      <c r="A16" s="48" t="s">
        <v>132</v>
      </c>
      <c r="B16" s="46" t="s">
        <v>214</v>
      </c>
      <c r="C16" s="46">
        <v>2652</v>
      </c>
      <c r="D16" s="60">
        <v>2760</v>
      </c>
      <c r="E16" s="60">
        <v>2908</v>
      </c>
      <c r="H16">
        <v>0.1</v>
      </c>
      <c r="I16" t="s">
        <v>292</v>
      </c>
      <c r="K16" t="s">
        <v>296</v>
      </c>
    </row>
    <row r="17" spans="1:11" x14ac:dyDescent="0.25">
      <c r="A17" s="48" t="s">
        <v>69</v>
      </c>
      <c r="B17" s="46" t="s">
        <v>214</v>
      </c>
      <c r="C17" s="46">
        <v>2584</v>
      </c>
      <c r="D17" s="60">
        <v>2760</v>
      </c>
      <c r="E17" s="60">
        <v>2820</v>
      </c>
      <c r="H17">
        <v>0.2</v>
      </c>
      <c r="I17" t="s">
        <v>293</v>
      </c>
      <c r="K17" t="s">
        <v>296</v>
      </c>
    </row>
    <row r="18" spans="1:11" x14ac:dyDescent="0.25">
      <c r="A18" s="48" t="s">
        <v>74</v>
      </c>
      <c r="B18" s="46" t="s">
        <v>140</v>
      </c>
      <c r="C18" s="46">
        <v>196</v>
      </c>
      <c r="D18" s="60">
        <v>320</v>
      </c>
      <c r="E18" s="60">
        <v>380</v>
      </c>
      <c r="H18">
        <v>3.8</v>
      </c>
      <c r="I18" t="s">
        <v>295</v>
      </c>
      <c r="K18" t="s">
        <v>297</v>
      </c>
    </row>
    <row r="19" spans="1:11" x14ac:dyDescent="0.25">
      <c r="A19" s="48" t="s">
        <v>276</v>
      </c>
      <c r="B19" s="46" t="s">
        <v>151</v>
      </c>
      <c r="C19" s="46">
        <v>17170</v>
      </c>
      <c r="D19" s="62" t="s">
        <v>304</v>
      </c>
      <c r="E19" s="60">
        <v>18500</v>
      </c>
      <c r="H19">
        <f>SUM(H9:H18)</f>
        <v>65.3</v>
      </c>
    </row>
    <row r="20" spans="1:11" x14ac:dyDescent="0.25">
      <c r="A20" s="48" t="s">
        <v>18</v>
      </c>
      <c r="B20" s="46" t="s">
        <v>150</v>
      </c>
      <c r="C20" s="52">
        <v>1200</v>
      </c>
      <c r="D20" s="60">
        <v>1200</v>
      </c>
      <c r="E20" s="60">
        <v>3250</v>
      </c>
    </row>
    <row r="21" spans="1:11" x14ac:dyDescent="0.25">
      <c r="A21" s="48" t="s">
        <v>272</v>
      </c>
      <c r="B21" s="46" t="s">
        <v>143</v>
      </c>
      <c r="C21" s="52">
        <v>2850</v>
      </c>
      <c r="D21" s="60">
        <v>2850</v>
      </c>
      <c r="E21" s="60">
        <v>7350</v>
      </c>
    </row>
    <row r="22" spans="1:11" x14ac:dyDescent="0.25">
      <c r="A22" s="48" t="s">
        <v>20</v>
      </c>
      <c r="B22" s="46" t="s">
        <v>151</v>
      </c>
      <c r="C22" s="52">
        <v>160</v>
      </c>
      <c r="D22" s="60">
        <v>160</v>
      </c>
      <c r="E22" s="60">
        <v>0</v>
      </c>
    </row>
    <row r="23" spans="1:11" x14ac:dyDescent="0.25">
      <c r="A23" s="48" t="s">
        <v>273</v>
      </c>
      <c r="B23" s="46" t="s">
        <v>157</v>
      </c>
      <c r="C23" s="52">
        <v>450</v>
      </c>
      <c r="D23" s="60">
        <v>450</v>
      </c>
      <c r="E23" s="60">
        <v>1470</v>
      </c>
    </row>
    <row r="24" spans="1:11" x14ac:dyDescent="0.25">
      <c r="A24" s="48" t="s">
        <v>274</v>
      </c>
      <c r="B24" s="46" t="s">
        <v>157</v>
      </c>
      <c r="C24" s="52">
        <v>990</v>
      </c>
      <c r="D24" s="60">
        <v>990</v>
      </c>
      <c r="E24" s="60">
        <v>1500</v>
      </c>
    </row>
    <row r="25" spans="1:11" x14ac:dyDescent="0.25">
      <c r="A25" s="48" t="s">
        <v>16</v>
      </c>
      <c r="B25" s="46" t="s">
        <v>143</v>
      </c>
      <c r="C25" s="58">
        <v>10500</v>
      </c>
      <c r="D25" s="60">
        <v>10500</v>
      </c>
      <c r="E25" s="60">
        <v>18750</v>
      </c>
    </row>
    <row r="26" spans="1:11" x14ac:dyDescent="0.25">
      <c r="A26" s="48" t="s">
        <v>275</v>
      </c>
      <c r="B26" s="46" t="s">
        <v>144</v>
      </c>
      <c r="C26" s="58">
        <v>8160</v>
      </c>
      <c r="D26" s="60">
        <v>8160</v>
      </c>
      <c r="E26" s="60">
        <v>21600</v>
      </c>
    </row>
    <row r="27" spans="1:11" x14ac:dyDescent="0.25">
      <c r="A27" s="48" t="s">
        <v>63</v>
      </c>
      <c r="B27" s="46" t="s">
        <v>126</v>
      </c>
      <c r="C27" s="46">
        <v>700</v>
      </c>
      <c r="D27" s="60">
        <v>1059.3</v>
      </c>
      <c r="E27" s="60">
        <v>1700</v>
      </c>
    </row>
    <row r="28" spans="1:11" x14ac:dyDescent="0.25">
      <c r="A28" s="48" t="s">
        <v>64</v>
      </c>
      <c r="B28" s="46" t="s">
        <v>126</v>
      </c>
      <c r="C28" s="46">
        <v>1560</v>
      </c>
      <c r="D28" s="46">
        <v>1960.0000000000002</v>
      </c>
      <c r="E28" s="60">
        <v>2900</v>
      </c>
    </row>
    <row r="29" spans="1:11" x14ac:dyDescent="0.25">
      <c r="A29" s="48" t="s">
        <v>100</v>
      </c>
      <c r="B29" s="46" t="s">
        <v>279</v>
      </c>
      <c r="C29" s="46">
        <f>14.35*180</f>
        <v>2583</v>
      </c>
      <c r="D29" s="46" t="s">
        <v>309</v>
      </c>
      <c r="E29" s="46">
        <v>567.5</v>
      </c>
    </row>
    <row r="30" spans="1:11" x14ac:dyDescent="0.25">
      <c r="A30" s="63" t="s">
        <v>277</v>
      </c>
      <c r="B30" s="63"/>
      <c r="C30" s="64">
        <f>SUM(C2:C29)</f>
        <v>94366.2</v>
      </c>
      <c r="D30" s="64">
        <f>SUM(D2:D29)</f>
        <v>60617.3</v>
      </c>
      <c r="E30" s="64">
        <f>SUM(E2:E29)</f>
        <v>126879.1</v>
      </c>
    </row>
    <row r="32" spans="1:11" x14ac:dyDescent="0.25">
      <c r="C32" s="53" t="s">
        <v>261</v>
      </c>
    </row>
    <row r="34" spans="1:9" x14ac:dyDescent="0.25">
      <c r="A34" s="41" t="s">
        <v>282</v>
      </c>
      <c r="B34" s="41" t="s">
        <v>278</v>
      </c>
      <c r="C34" s="41" t="s">
        <v>212</v>
      </c>
      <c r="D34" s="41" t="s">
        <v>280</v>
      </c>
      <c r="E34" s="41" t="s">
        <v>281</v>
      </c>
    </row>
    <row r="35" spans="1:9" x14ac:dyDescent="0.25">
      <c r="A35" s="57" t="s">
        <v>314</v>
      </c>
      <c r="B35" s="1">
        <v>5784</v>
      </c>
      <c r="C35" s="55">
        <f>3.06*5784</f>
        <v>17699.04</v>
      </c>
      <c r="D35" s="55"/>
      <c r="E35" s="55"/>
      <c r="G35" s="89" t="s">
        <v>306</v>
      </c>
      <c r="H35" s="90"/>
      <c r="I35" s="91"/>
    </row>
    <row r="36" spans="1:9" x14ac:dyDescent="0.25">
      <c r="A36" s="57" t="s">
        <v>283</v>
      </c>
      <c r="B36" s="1">
        <v>2520</v>
      </c>
      <c r="C36" s="55">
        <f>7.9*2520</f>
        <v>19908</v>
      </c>
      <c r="D36" s="55"/>
      <c r="E36" s="55"/>
      <c r="G36" s="89" t="s">
        <v>306</v>
      </c>
      <c r="H36" s="90"/>
      <c r="I36" s="91"/>
    </row>
    <row r="37" spans="1:9" x14ac:dyDescent="0.25">
      <c r="A37" s="57" t="s">
        <v>313</v>
      </c>
      <c r="B37" s="1">
        <v>360</v>
      </c>
      <c r="C37" s="55">
        <f>9.76*360</f>
        <v>3513.6</v>
      </c>
      <c r="D37" s="55"/>
      <c r="E37" s="55"/>
      <c r="G37" s="89" t="s">
        <v>305</v>
      </c>
      <c r="H37" s="90"/>
      <c r="I37" s="91"/>
    </row>
    <row r="38" spans="1:9" x14ac:dyDescent="0.25">
      <c r="A38" s="57" t="s">
        <v>312</v>
      </c>
      <c r="B38" s="1">
        <v>1200</v>
      </c>
      <c r="C38" s="55">
        <f>3.58*1200</f>
        <v>4296</v>
      </c>
      <c r="D38" s="55"/>
      <c r="E38" s="55"/>
      <c r="G38" s="89" t="s">
        <v>305</v>
      </c>
      <c r="H38" s="90"/>
      <c r="I38" s="91"/>
    </row>
    <row r="39" spans="1:9" x14ac:dyDescent="0.25">
      <c r="A39" s="57" t="s">
        <v>311</v>
      </c>
      <c r="B39" s="66">
        <v>5000</v>
      </c>
      <c r="C39" s="55">
        <f>11.48*5000</f>
        <v>57400</v>
      </c>
      <c r="D39" s="55"/>
      <c r="E39" s="55"/>
      <c r="G39" s="89" t="s">
        <v>305</v>
      </c>
      <c r="H39" s="90"/>
      <c r="I39" s="91"/>
    </row>
    <row r="40" spans="1:9" x14ac:dyDescent="0.25">
      <c r="A40" s="57" t="s">
        <v>284</v>
      </c>
      <c r="B40" s="1">
        <v>2500</v>
      </c>
      <c r="C40" s="55">
        <f>3.13*2500</f>
        <v>7825</v>
      </c>
      <c r="D40" s="55"/>
      <c r="E40" s="55"/>
      <c r="G40" s="89" t="s">
        <v>303</v>
      </c>
      <c r="H40" s="90"/>
      <c r="I40" s="91"/>
    </row>
    <row r="41" spans="1:9" x14ac:dyDescent="0.25">
      <c r="A41" s="57" t="s">
        <v>285</v>
      </c>
      <c r="B41" s="65">
        <v>20000</v>
      </c>
      <c r="C41" s="55">
        <f>0.794*B41</f>
        <v>15880</v>
      </c>
      <c r="D41" s="55"/>
      <c r="E41" s="55"/>
      <c r="G41" s="89" t="s">
        <v>307</v>
      </c>
      <c r="H41" s="90"/>
      <c r="I41" s="91"/>
    </row>
    <row r="42" spans="1:9" x14ac:dyDescent="0.25">
      <c r="A42" s="57" t="s">
        <v>316</v>
      </c>
      <c r="B42" s="67">
        <v>300</v>
      </c>
      <c r="D42" s="55"/>
      <c r="E42" s="55">
        <f>4.3*B42</f>
        <v>1290</v>
      </c>
    </row>
    <row r="47" spans="1:9" x14ac:dyDescent="0.25">
      <c r="A47" s="88" t="s">
        <v>308</v>
      </c>
      <c r="B47" s="88"/>
      <c r="C47" s="88"/>
      <c r="D47" s="88"/>
    </row>
  </sheetData>
  <mergeCells count="9">
    <mergeCell ref="H6:K6"/>
    <mergeCell ref="A47:D47"/>
    <mergeCell ref="G40:I40"/>
    <mergeCell ref="G35:I35"/>
    <mergeCell ref="G36:I36"/>
    <mergeCell ref="G37:I37"/>
    <mergeCell ref="G38:I38"/>
    <mergeCell ref="G41:I41"/>
    <mergeCell ref="G39:I3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Fornecedores</vt:lpstr>
      <vt:lpstr>Orçamento</vt:lpstr>
      <vt:lpstr>Plan3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DECIO</dc:creator>
  <cp:lastModifiedBy>Luciane Pozzobon</cp:lastModifiedBy>
  <cp:lastPrinted>2013-11-11T00:10:38Z</cp:lastPrinted>
  <dcterms:created xsi:type="dcterms:W3CDTF">2013-11-08T16:17:57Z</dcterms:created>
  <dcterms:modified xsi:type="dcterms:W3CDTF">2016-08-26T12:17:37Z</dcterms:modified>
</cp:coreProperties>
</file>